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checkCompatibility="1" autoCompressPictures="0"/>
  <bookViews>
    <workbookView xWindow="-2175" yWindow="165" windowWidth="25395" windowHeight="14460" tabRatio="936" firstSheet="2" activeTab="2"/>
  </bookViews>
  <sheets>
    <sheet name="Formatting" sheetId="34" state="hidden" r:id="rId1"/>
    <sheet name="INSTRUCTIONS" sheetId="192" r:id="rId2"/>
    <sheet name="DATA SUMMARY" sheetId="203" r:id="rId3"/>
    <sheet name="1.Current Trans" sheetId="185" r:id="rId4"/>
    <sheet name="2.Current Heat" sheetId="186" r:id="rId5"/>
    <sheet name="3. Current Home Heating Detail" sheetId="202" r:id="rId6"/>
    <sheet name="4. Current Electricity" sheetId="195" r:id="rId7"/>
    <sheet name="(A) Workspace- # of Cars" sheetId="194" r:id="rId8"/>
    <sheet name="(B) Data-Regional Housing Units" sheetId="196" r:id="rId9"/>
    <sheet name="(C) Data- Commercial Buildings" sheetId="200" r:id="rId10"/>
  </sheets>
  <definedNames>
    <definedName name="COP">2.5</definedName>
    <definedName name="fossilBtu">(0.95*120400)+(0.05*137570)</definedName>
    <definedName name="VTpopulation2013">627129</definedName>
    <definedName name="VTpopulation2014">626767</definedName>
    <definedName name="VTpopulation2015">626042</definedName>
  </definedNames>
  <calcPr calcId="125725"/>
</workbook>
</file>

<file path=xl/calcChain.xml><?xml version="1.0" encoding="utf-8"?>
<calcChain xmlns="http://schemas.openxmlformats.org/spreadsheetml/2006/main">
  <c r="L14" i="202"/>
  <c r="L13"/>
  <c r="K14"/>
  <c r="K13"/>
  <c r="J14"/>
  <c r="J13"/>
  <c r="I14"/>
  <c r="I13"/>
  <c r="G14"/>
  <c r="G13"/>
  <c r="F14"/>
  <c r="F13"/>
  <c r="E14"/>
  <c r="E13"/>
  <c r="B30" i="195"/>
  <c r="B28"/>
  <c r="G16"/>
  <c r="H16"/>
  <c r="I16"/>
  <c r="J16"/>
  <c r="K16"/>
  <c r="L16"/>
  <c r="M16"/>
  <c r="N16"/>
  <c r="H15"/>
  <c r="I15"/>
  <c r="J15"/>
  <c r="K15"/>
  <c r="L15"/>
  <c r="M15"/>
  <c r="N15"/>
  <c r="G15"/>
  <c r="G13"/>
  <c r="H13"/>
  <c r="I13"/>
  <c r="J13"/>
  <c r="K13"/>
  <c r="L13"/>
  <c r="M13"/>
  <c r="N13"/>
  <c r="H12"/>
  <c r="I12"/>
  <c r="J12"/>
  <c r="K12"/>
  <c r="L12"/>
  <c r="M12"/>
  <c r="N12"/>
  <c r="G12"/>
  <c r="C34" i="196" l="1"/>
  <c r="C35"/>
  <c r="C33" s="1"/>
  <c r="C39"/>
  <c r="C40"/>
  <c r="C38" s="1"/>
  <c r="C41" l="1"/>
  <c r="C36"/>
  <c r="S15" i="200"/>
  <c r="H8" i="202"/>
  <c r="H9"/>
  <c r="B18" i="186"/>
  <c r="B27" i="195"/>
  <c r="N35" i="203" s="1"/>
  <c r="B25" i="195"/>
  <c r="N34" i="203" s="1"/>
  <c r="N37" s="1"/>
  <c r="B18" i="195"/>
  <c r="B24"/>
  <c r="N33" i="203" s="1"/>
  <c r="B46" s="1"/>
  <c r="S13" i="200"/>
  <c r="S14"/>
  <c r="S16"/>
  <c r="S17"/>
  <c r="S18"/>
  <c r="S19"/>
  <c r="S20"/>
  <c r="S21"/>
  <c r="S22"/>
  <c r="S23"/>
  <c r="S24"/>
  <c r="S25"/>
  <c r="S26"/>
  <c r="S27"/>
  <c r="S28"/>
  <c r="S29"/>
  <c r="S30"/>
  <c r="S31"/>
  <c r="S32"/>
  <c r="S7"/>
  <c r="S8"/>
  <c r="S9"/>
  <c r="S10"/>
  <c r="S11"/>
  <c r="S12"/>
  <c r="S6"/>
  <c r="B37" i="185"/>
  <c r="B39" s="1"/>
  <c r="L6" i="196"/>
  <c r="L7"/>
  <c r="L8"/>
  <c r="L9"/>
  <c r="L10"/>
  <c r="L11"/>
  <c r="L12"/>
  <c r="L13"/>
  <c r="L14"/>
  <c r="L15"/>
  <c r="L16"/>
  <c r="L17"/>
  <c r="L18"/>
  <c r="L19"/>
  <c r="L20"/>
  <c r="L21"/>
  <c r="L22"/>
  <c r="L23"/>
  <c r="L24"/>
  <c r="L25"/>
  <c r="L26"/>
  <c r="L27"/>
  <c r="L28"/>
  <c r="L29"/>
  <c r="L30"/>
  <c r="L31"/>
  <c r="L5"/>
  <c r="K6"/>
  <c r="K7"/>
  <c r="K8"/>
  <c r="K9"/>
  <c r="K10"/>
  <c r="K11"/>
  <c r="K12"/>
  <c r="K13"/>
  <c r="K14"/>
  <c r="K15"/>
  <c r="K16"/>
  <c r="K17"/>
  <c r="K18"/>
  <c r="K19"/>
  <c r="K20"/>
  <c r="K21"/>
  <c r="K22"/>
  <c r="K23"/>
  <c r="K24"/>
  <c r="K25"/>
  <c r="K26"/>
  <c r="K27"/>
  <c r="K28"/>
  <c r="K29"/>
  <c r="K30"/>
  <c r="K31"/>
  <c r="K5"/>
  <c r="B22" i="185"/>
  <c r="D6" i="196"/>
  <c r="G27" i="186"/>
  <c r="G28"/>
  <c r="G29"/>
  <c r="G30"/>
  <c r="G31"/>
  <c r="G32"/>
  <c r="G33"/>
  <c r="G34"/>
  <c r="G35"/>
  <c r="G36"/>
  <c r="G37"/>
  <c r="G38"/>
  <c r="G39"/>
  <c r="G40"/>
  <c r="H40" s="1"/>
  <c r="I40" s="1"/>
  <c r="D10" i="196"/>
  <c r="D11"/>
  <c r="D15"/>
  <c r="D16"/>
  <c r="D20"/>
  <c r="D22"/>
  <c r="D26"/>
  <c r="D27"/>
  <c r="D31"/>
  <c r="D17" i="185"/>
  <c r="E11" i="194"/>
  <c r="F11" s="1"/>
  <c r="E10"/>
  <c r="F10" s="1"/>
  <c r="E9"/>
  <c r="F9" s="1"/>
  <c r="E8"/>
  <c r="F8" s="1"/>
  <c r="D16" i="186"/>
  <c r="B52" i="185"/>
  <c r="B50"/>
  <c r="B46"/>
  <c r="J41" i="186"/>
  <c r="K42" i="34"/>
  <c r="J42"/>
  <c r="I42"/>
  <c r="H42"/>
  <c r="E42"/>
  <c r="E49"/>
  <c r="D42"/>
  <c r="D49"/>
  <c r="C42"/>
  <c r="C49"/>
  <c r="B42"/>
  <c r="B49"/>
  <c r="K30"/>
  <c r="J30"/>
  <c r="I30"/>
  <c r="H30"/>
  <c r="E30"/>
  <c r="D30"/>
  <c r="C30"/>
  <c r="B30"/>
  <c r="K14"/>
  <c r="J14"/>
  <c r="I14"/>
  <c r="H14"/>
  <c r="E14"/>
  <c r="D14"/>
  <c r="C14"/>
  <c r="B14"/>
  <c r="H14" i="202" l="1"/>
  <c r="D14"/>
  <c r="D17" s="1"/>
  <c r="H13"/>
  <c r="D13"/>
  <c r="K26" i="203"/>
  <c r="G17" i="202"/>
  <c r="I17"/>
  <c r="F17"/>
  <c r="F26" i="203"/>
  <c r="B19" i="195"/>
  <c r="B20"/>
  <c r="E26" i="203"/>
  <c r="K28" i="186"/>
  <c r="B22"/>
  <c r="B40" i="203"/>
  <c r="B29" i="195"/>
  <c r="N36" i="203" s="1"/>
  <c r="B49" i="186"/>
  <c r="B50" s="1"/>
  <c r="N17" i="203" s="1"/>
  <c r="N15"/>
  <c r="B13" i="194"/>
  <c r="B21" i="195"/>
  <c r="B22"/>
  <c r="D28" i="196"/>
  <c r="D23"/>
  <c r="D18"/>
  <c r="D12"/>
  <c r="D7"/>
  <c r="D5"/>
  <c r="D30"/>
  <c r="D24"/>
  <c r="D19"/>
  <c r="D14"/>
  <c r="D8"/>
  <c r="D29"/>
  <c r="D25"/>
  <c r="D21"/>
  <c r="D17"/>
  <c r="D13"/>
  <c r="D9"/>
  <c r="H33" i="186"/>
  <c r="I33" s="1"/>
  <c r="H32"/>
  <c r="I32" s="1"/>
  <c r="K39"/>
  <c r="K36"/>
  <c r="K33"/>
  <c r="K32"/>
  <c r="K30"/>
  <c r="K38"/>
  <c r="K31"/>
  <c r="H38"/>
  <c r="I38" s="1"/>
  <c r="H34"/>
  <c r="I34" s="1"/>
  <c r="H35"/>
  <c r="I35" s="1"/>
  <c r="K35"/>
  <c r="H39"/>
  <c r="I39" s="1"/>
  <c r="H31"/>
  <c r="I31" s="1"/>
  <c r="H29"/>
  <c r="I29" s="1"/>
  <c r="H30"/>
  <c r="I30" s="1"/>
  <c r="H36"/>
  <c r="I36" s="1"/>
  <c r="H37"/>
  <c r="I37" s="1"/>
  <c r="H28"/>
  <c r="I28" s="1"/>
  <c r="K40"/>
  <c r="K29"/>
  <c r="K27"/>
  <c r="K37"/>
  <c r="H27"/>
  <c r="I27" s="1"/>
  <c r="K34"/>
  <c r="L27" i="203" l="1"/>
  <c r="L17" i="202"/>
  <c r="L26" i="203"/>
  <c r="L16" i="202"/>
  <c r="K16"/>
  <c r="K21" s="1"/>
  <c r="K26" s="1"/>
  <c r="F27" i="203"/>
  <c r="E16" i="202"/>
  <c r="E21" s="1"/>
  <c r="E26" s="1"/>
  <c r="D27" i="203"/>
  <c r="I27"/>
  <c r="H27"/>
  <c r="H17" i="202"/>
  <c r="H22" s="1"/>
  <c r="H27" s="1"/>
  <c r="H26" i="203"/>
  <c r="H16" i="202"/>
  <c r="H21" s="1"/>
  <c r="H26" s="1"/>
  <c r="K27" i="203"/>
  <c r="K17" i="202"/>
  <c r="K22" s="1"/>
  <c r="K27" s="1"/>
  <c r="J27" i="203"/>
  <c r="J17" i="202"/>
  <c r="J22" s="1"/>
  <c r="J27" s="1"/>
  <c r="G27" i="203"/>
  <c r="D26"/>
  <c r="D16" i="202"/>
  <c r="D21" s="1"/>
  <c r="D26" s="1"/>
  <c r="J26" i="203"/>
  <c r="J16" i="202"/>
  <c r="J21" s="1"/>
  <c r="J26" s="1"/>
  <c r="N5" i="203"/>
  <c r="N7" s="1"/>
  <c r="B10" i="185"/>
  <c r="B19" s="1"/>
  <c r="F16" i="202"/>
  <c r="F21" s="1"/>
  <c r="F26" s="1"/>
  <c r="I22"/>
  <c r="I27" s="1"/>
  <c r="E27" i="203"/>
  <c r="E17" i="202"/>
  <c r="F22"/>
  <c r="F27" s="1"/>
  <c r="D22"/>
  <c r="D27" s="1"/>
  <c r="G22"/>
  <c r="G27" s="1"/>
  <c r="I26" i="203"/>
  <c r="I16" i="202"/>
  <c r="G26" i="203"/>
  <c r="G16" i="202"/>
  <c r="K41" i="186"/>
  <c r="B24" s="1"/>
  <c r="B43" s="1"/>
  <c r="M38" i="202" l="1"/>
  <c r="I38" s="1"/>
  <c r="I29" i="203" s="1"/>
  <c r="N16"/>
  <c r="B4" i="186"/>
  <c r="N18" i="203" s="1"/>
  <c r="B21" i="185"/>
  <c r="B24" s="1"/>
  <c r="B26" s="1"/>
  <c r="E22" i="202"/>
  <c r="E27" s="1"/>
  <c r="F31" s="1"/>
  <c r="N20" i="203" s="1"/>
  <c r="G21" i="202"/>
  <c r="G26" s="1"/>
  <c r="I21"/>
  <c r="I26" s="1"/>
  <c r="M37"/>
  <c r="G38" l="1"/>
  <c r="G29" i="203" s="1"/>
  <c r="F30" i="202"/>
  <c r="N19" i="203" s="1"/>
  <c r="E38" i="202"/>
  <c r="E29" i="203" s="1"/>
  <c r="J38" i="202"/>
  <c r="J29" i="203" s="1"/>
  <c r="K38" i="202"/>
  <c r="K29" i="203" s="1"/>
  <c r="L38" i="202"/>
  <c r="L29" i="203" s="1"/>
  <c r="D38" i="202"/>
  <c r="D29" i="203" s="1"/>
  <c r="H38" i="202"/>
  <c r="H29" i="203" s="1"/>
  <c r="F38" i="202"/>
  <c r="F29" i="203" s="1"/>
  <c r="B47"/>
  <c r="B68"/>
  <c r="N11"/>
  <c r="B23" i="185"/>
  <c r="B27" s="1"/>
  <c r="J37" i="202"/>
  <c r="J28" i="203" s="1"/>
  <c r="L37" i="202"/>
  <c r="L28" i="203" s="1"/>
  <c r="H37" i="202"/>
  <c r="H28" i="203" s="1"/>
  <c r="F37" i="202"/>
  <c r="F28" i="203" s="1"/>
  <c r="D37" i="202"/>
  <c r="D28" i="203" s="1"/>
  <c r="K37" i="202"/>
  <c r="K28" i="203" s="1"/>
  <c r="E37" i="202"/>
  <c r="E28" i="203" s="1"/>
  <c r="G37" i="202"/>
  <c r="G28" i="203" s="1"/>
  <c r="I37" i="202"/>
  <c r="I28" i="203" s="1"/>
  <c r="F32" i="202" l="1"/>
  <c r="N21" i="203" s="1"/>
  <c r="E63"/>
  <c r="F63" s="1"/>
  <c r="E66"/>
  <c r="F66" s="1"/>
  <c r="E65"/>
  <c r="F65" s="1"/>
  <c r="E62"/>
  <c r="F62" s="1"/>
  <c r="E64"/>
  <c r="F64" s="1"/>
  <c r="N10"/>
  <c r="B6" i="185"/>
  <c r="N9" i="203" s="1"/>
  <c r="B48" s="1"/>
  <c r="B49" s="1"/>
  <c r="N12"/>
  <c r="B42"/>
  <c r="B69" l="1"/>
  <c r="B41" s="1"/>
  <c r="B43" s="1"/>
</calcChain>
</file>

<file path=xl/comments1.xml><?xml version="1.0" encoding="utf-8"?>
<comments xmlns="http://schemas.openxmlformats.org/spreadsheetml/2006/main">
  <authors>
    <author>Woodward, John</author>
  </authors>
  <commentList>
    <comment ref="H41" authorId="0">
      <text>
        <r>
          <rPr>
            <sz val="9"/>
            <color indexed="81"/>
            <rFont val="Tahoma"/>
            <family val="2"/>
          </rPr>
          <t xml:space="preserve">
This is the approximate total heat energy consumption of the Commercial sector as a whole
</t>
        </r>
      </text>
    </comment>
  </commentList>
</comments>
</file>

<file path=xl/comments2.xml><?xml version="1.0" encoding="utf-8"?>
<comments xmlns="http://schemas.openxmlformats.org/spreadsheetml/2006/main">
  <authors>
    <author>WRCGIS</author>
  </authors>
  <commentList>
    <comment ref="E6" authorId="0">
      <text>
        <r>
          <rPr>
            <b/>
            <sz val="9"/>
            <color indexed="81"/>
            <rFont val="Tahoma"/>
            <family val="2"/>
          </rPr>
          <t>WRCGIS:</t>
        </r>
        <r>
          <rPr>
            <sz val="9"/>
            <color indexed="81"/>
            <rFont val="Tahoma"/>
            <family val="2"/>
          </rPr>
          <t xml:space="preserve">
(see sheet "(B) Data- Regional Housing Units", column F)</t>
        </r>
      </text>
    </comment>
    <comment ref="F7" authorId="0">
      <text>
        <r>
          <rPr>
            <b/>
            <sz val="9"/>
            <color indexed="81"/>
            <rFont val="Tahoma"/>
            <family val="2"/>
          </rPr>
          <t>WRCGIS:</t>
        </r>
        <r>
          <rPr>
            <sz val="9"/>
            <color indexed="81"/>
            <rFont val="Tahoma"/>
            <family val="2"/>
          </rPr>
          <t xml:space="preserve">
This is a national average of the occupancy rate of owner vs renter-occupied houses. This can be changed if needed.</t>
        </r>
      </text>
    </comment>
    <comment ref="G7" authorId="0">
      <text>
        <r>
          <rPr>
            <b/>
            <sz val="9"/>
            <color indexed="81"/>
            <rFont val="Tahoma"/>
            <family val="2"/>
          </rPr>
          <t>WRCGIS:</t>
        </r>
        <r>
          <rPr>
            <sz val="9"/>
            <color indexed="81"/>
            <rFont val="Tahoma"/>
            <family val="2"/>
          </rPr>
          <t xml:space="preserve">
This rate of sqft per person is also a national average.</t>
        </r>
      </text>
    </comment>
    <comment ref="E8" authorId="0">
      <text>
        <r>
          <rPr>
            <b/>
            <sz val="9"/>
            <color indexed="81"/>
            <rFont val="Tahoma"/>
            <family val="2"/>
          </rPr>
          <t>WRCGIS:</t>
        </r>
        <r>
          <rPr>
            <sz val="9"/>
            <color indexed="81"/>
            <rFont val="Tahoma"/>
            <family val="2"/>
          </rPr>
          <t xml:space="preserve">
(see sheet "(B) Data- Regional Housing Units", column H)</t>
        </r>
      </text>
    </comment>
    <comment ref="E9" authorId="0">
      <text>
        <r>
          <rPr>
            <b/>
            <sz val="9"/>
            <color indexed="81"/>
            <rFont val="Tahoma"/>
            <family val="2"/>
          </rPr>
          <t>WRCGIS:</t>
        </r>
        <r>
          <rPr>
            <sz val="9"/>
            <color indexed="81"/>
            <rFont val="Tahoma"/>
            <family val="2"/>
          </rPr>
          <t xml:space="preserve">
(see sheet "(B) Data- Regional Housing Units", column I)</t>
        </r>
      </text>
    </comment>
  </commentList>
</comments>
</file>

<file path=xl/sharedStrings.xml><?xml version="1.0" encoding="utf-8"?>
<sst xmlns="http://schemas.openxmlformats.org/spreadsheetml/2006/main" count="530" uniqueCount="365">
  <si>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</si>
  <si>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</si>
  <si>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</si>
  <si>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</si>
  <si>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</si>
  <si>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</si>
  <si>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</si>
  <si>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</si>
  <si>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</si>
  <si>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</si>
  <si>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</si>
  <si>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</si>
  <si>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</si>
  <si>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</si>
  <si>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</si>
  <si>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</si>
  <si>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</si>
  <si>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</si>
  <si>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</si>
  <si>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</si>
  <si>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</si>
  <si>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</si>
  <si>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</si>
  <si>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</si>
  <si>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</si>
  <si>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</si>
  <si>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</si>
  <si>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</si>
  <si>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</si>
  <si>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</si>
  <si>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</si>
  <si>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</si>
  <si>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</si>
  <si>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</si>
  <si>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</si>
  <si>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</si>
  <si>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</si>
  <si>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</si>
  <si>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</si>
  <si>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</si>
  <si>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</si>
  <si>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</si>
  <si>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</si>
  <si>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</si>
  <si>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</si>
  <si>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</si>
  <si>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</si>
  <si>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</si>
  <si>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</si>
  <si>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</si>
  <si>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</si>
  <si>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</si>
  <si>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</si>
  <si>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</si>
  <si>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</si>
  <si>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</si>
  <si>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</si>
  <si>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</si>
  <si>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Estimated  Consumption</t>
  </si>
  <si>
    <t>between 1,600 and 1,900</t>
  </si>
  <si>
    <t>NAICS Code</t>
  </si>
  <si>
    <t>Average Miles per gallon</t>
  </si>
  <si>
    <t>VMT per capita per year</t>
  </si>
  <si>
    <t>percentage of roadway miles that are rural</t>
  </si>
  <si>
    <t>drivers licenses per capita</t>
  </si>
  <si>
    <t>percentage of trips taken in local public transit</t>
  </si>
  <si>
    <t>approximate public transit rides per capita</t>
  </si>
  <si>
    <t>registered vehicles per capita</t>
  </si>
  <si>
    <t>Annual Vehicle Miles Traveled in 2015</t>
  </si>
  <si>
    <t>Annual Vehicle Miles Traveled per Capita in 2015</t>
  </si>
  <si>
    <t>Refer to:</t>
  </si>
  <si>
    <t>Note:</t>
  </si>
  <si>
    <t>It is not necessary to distinguish between diesel and gasoline burning vehicles.</t>
  </si>
  <si>
    <t>Census website</t>
  </si>
  <si>
    <t xml:space="preserve">VT Dept of Motor Vehicles </t>
  </si>
  <si>
    <t>number of registered vehicles  as of 2015</t>
  </si>
  <si>
    <t>Annual Vehicle Miles Traveled Rural (whatever that means)</t>
  </si>
  <si>
    <t>% of total</t>
  </si>
  <si>
    <t>This formula converts the number of fossil fuel gallons computed above into its equivalent amount of Btu, in millions</t>
  </si>
  <si>
    <t>Percentage of households with only one car available</t>
  </si>
  <si>
    <t>Percentage of households with two cars available</t>
  </si>
  <si>
    <t xml:space="preserve">Percentage of households with three cars available. </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</si>
  <si>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</si>
  <si>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</si>
  <si>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</si>
  <si>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</si>
  <si>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</si>
  <si>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Enter an estimate of the number of Electric Vehicles in the area</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</si>
  <si>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</si>
  <si>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</si>
  <si>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</si>
  <si>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Electric Powered Transportation (EV)</t>
  </si>
  <si>
    <t xml:space="preserve">Enter an estimate of the average annual number of miles travelled by EVs in the area. Currently this is likely to be less than the average VMT by ICE vehicles but it is also reasonable to assume it is equivalent. </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</si>
  <si>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</si>
  <si>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</si>
  <si>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</si>
  <si>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</si>
  <si>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</si>
  <si>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</si>
  <si>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VT DOL website</t>
  </si>
  <si>
    <t>for a count of commercial establishments in the area</t>
  </si>
  <si>
    <t>This is the estimated total heat energy consumption of Residential buildings in the area, in millions of Btu</t>
  </si>
  <si>
    <t>This is the estimated total heat energy consumption of Commercial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</si>
  <si>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</si>
  <si>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</si>
  <si>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</si>
  <si>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Avg number of Empl.</t>
  </si>
  <si>
    <t>Number of Empl. in State</t>
  </si>
  <si>
    <t xml:space="preserve">Number of Bldgs. in State </t>
  </si>
  <si>
    <t>Enter number of Bldgs in area</t>
  </si>
  <si>
    <t xml:space="preserve">Share of area Bldgs. </t>
  </si>
  <si>
    <t>Estimated Average  Consumption</t>
  </si>
  <si>
    <t>This is the estimated average commercial heating load, in millions of Btu, based on the values inputed into the table</t>
  </si>
  <si>
    <t>This workbook is designed as an aid to Regional and Town Planners in the development of :</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</si>
  <si>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</si>
  <si>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</si>
  <si>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</si>
  <si>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</si>
  <si>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t>
  </si>
  <si>
    <t xml:space="preserve">Enter an estimate of the volumetric percentage of ethanol blended into area fuel supplies "at the pump."  For the State as a whole, ethanol accounts for about 9% of the volume of fuel consumed "at the pump." This percentage may differ substantially area to area. </t>
  </si>
  <si>
    <t>This is the average number of occupants per vehicle trip for Vermont as a whole. All else equal, the more people per vehicle the lower average consumption in an area will be</t>
  </si>
  <si>
    <t xml:space="preserve">Enter an estimate of the average annual number of miles travelled by an LDV in the area. For the State as a whole, total VMT per registered Vehicle was around 12,500. The vast majority of LDV in Vermont can safely be assumed to drive between 9,000 and 15,000 miles annnually. </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</si>
  <si>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</si>
  <si>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</si>
  <si>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</si>
  <si>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 xml:space="preserve">:percent households 0 cars </t>
  </si>
  <si>
    <t xml:space="preserve">:percent households 1 cars </t>
  </si>
  <si>
    <t xml:space="preserve">:percent households 2 cars </t>
  </si>
  <si>
    <t xml:space="preserve">:percent households 3+ cars </t>
  </si>
  <si>
    <t>Number of cars</t>
  </si>
  <si>
    <t>TOWN</t>
  </si>
  <si>
    <t>Athens</t>
  </si>
  <si>
    <t>Brattleboro</t>
  </si>
  <si>
    <t>Brookline</t>
  </si>
  <si>
    <t>Dover</t>
  </si>
  <si>
    <t>Dummerston</t>
  </si>
  <si>
    <t>Grafton</t>
  </si>
  <si>
    <t>Guilford</t>
  </si>
  <si>
    <t>Halifax</t>
  </si>
  <si>
    <t>Jamaica</t>
  </si>
  <si>
    <t>Londonderry</t>
  </si>
  <si>
    <t>Marlboro</t>
  </si>
  <si>
    <t>Newfane</t>
  </si>
  <si>
    <t>Putney</t>
  </si>
  <si>
    <t>Readsboro</t>
  </si>
  <si>
    <t>Rockingham</t>
  </si>
  <si>
    <t>Searsburg</t>
  </si>
  <si>
    <t>Somerset</t>
  </si>
  <si>
    <t>Stratton</t>
  </si>
  <si>
    <t>Townshend</t>
  </si>
  <si>
    <t>Vernon</t>
  </si>
  <si>
    <t>Wardsboro</t>
  </si>
  <si>
    <t>Westminster</t>
  </si>
  <si>
    <t>Weston</t>
  </si>
  <si>
    <t>Whitingham</t>
  </si>
  <si>
    <t>Wilmington</t>
  </si>
  <si>
    <t>Windham</t>
  </si>
  <si>
    <t>Winhall</t>
  </si>
  <si>
    <t>Sum total</t>
  </si>
  <si>
    <t>C &amp; I</t>
  </si>
  <si>
    <t>R</t>
  </si>
  <si>
    <t>Zip</t>
  </si>
  <si>
    <t>City</t>
  </si>
  <si>
    <t>County</t>
  </si>
  <si>
    <t>Sector</t>
  </si>
  <si>
    <t>Premise Count</t>
  </si>
  <si>
    <t>2007 (Kwh)</t>
  </si>
  <si>
    <t>Number of households with (#) cars</t>
  </si>
  <si>
    <r>
      <t>This is the estimated total annual energy consumption amount for</t>
    </r>
    <r>
      <rPr>
        <b/>
        <sz val="11"/>
        <color theme="1"/>
        <rFont val="Calibri"/>
        <family val="2"/>
        <scheme val="minor"/>
      </rPr>
      <t xml:space="preserve"> light-duty passenger transportation purposes, in millions of Btu.</t>
    </r>
  </si>
  <si>
    <t>Population sum (county)</t>
  </si>
  <si>
    <t>Population sum (non-county)</t>
  </si>
  <si>
    <t>Estimating current residential, commercial, and industrial electricity use in an area</t>
  </si>
  <si>
    <t>Electricity consumption data from Efficiency Vermont (2014) (represents multiple service providers)</t>
  </si>
  <si>
    <t>2007 (Gwh)</t>
  </si>
  <si>
    <t>This cell is the total number of premises using electricity in the town.</t>
  </si>
  <si>
    <r>
      <t xml:space="preserve">This is the percent of premises using electricity that are </t>
    </r>
    <r>
      <rPr>
        <b/>
        <sz val="12"/>
        <color theme="1"/>
        <rFont val="Calibri"/>
        <family val="2"/>
        <charset val="128"/>
        <scheme val="minor"/>
      </rPr>
      <t>commercial or industrial.</t>
    </r>
  </si>
  <si>
    <r>
      <t xml:space="preserve">This is the percent of premises using electricity that are </t>
    </r>
    <r>
      <rPr>
        <b/>
        <sz val="12"/>
        <color theme="1"/>
        <rFont val="Calibri"/>
        <family val="2"/>
        <charset val="128"/>
        <scheme val="minor"/>
      </rPr>
      <t>residential.</t>
    </r>
  </si>
  <si>
    <r>
      <t xml:space="preserve">Percent of electricity consumed in the town by </t>
    </r>
    <r>
      <rPr>
        <b/>
        <sz val="12"/>
        <color theme="1"/>
        <rFont val="Calibri"/>
        <family val="2"/>
        <charset val="128"/>
        <scheme val="minor"/>
      </rPr>
      <t>commercial or industrial premises.</t>
    </r>
  </si>
  <si>
    <r>
      <t xml:space="preserve">Percent of electricity conumed in the town by </t>
    </r>
    <r>
      <rPr>
        <b/>
        <sz val="12"/>
        <color theme="1"/>
        <rFont val="Calibri"/>
        <family val="2"/>
        <charset val="128"/>
        <scheme val="minor"/>
      </rPr>
      <t>residential premises.</t>
    </r>
  </si>
  <si>
    <r>
      <t xml:space="preserve">This is the </t>
    </r>
    <r>
      <rPr>
        <b/>
        <sz val="12"/>
        <color theme="1"/>
        <rFont val="Calibri"/>
        <family val="2"/>
        <charset val="128"/>
        <scheme val="minor"/>
      </rPr>
      <t>total electricity consumed in town in 2014</t>
    </r>
    <r>
      <rPr>
        <sz val="12"/>
        <color theme="1"/>
        <rFont val="Calibri"/>
        <family val="2"/>
        <charset val="128"/>
        <scheme val="minor"/>
      </rPr>
      <t>, in million Btu.</t>
    </r>
  </si>
  <si>
    <r>
      <t xml:space="preserve">This is the </t>
    </r>
    <r>
      <rPr>
        <b/>
        <sz val="12"/>
        <color theme="1"/>
        <rFont val="Calibri"/>
        <family val="2"/>
        <charset val="128"/>
        <scheme val="minor"/>
      </rPr>
      <t>total electricity consumed in town in 2014</t>
    </r>
    <r>
      <rPr>
        <sz val="12"/>
        <color theme="1"/>
        <rFont val="Calibri"/>
        <family val="2"/>
        <charset val="128"/>
        <scheme val="minor"/>
      </rPr>
      <t>, in kilowatt hours.</t>
    </r>
  </si>
  <si>
    <r>
      <t xml:space="preserve">This is the </t>
    </r>
    <r>
      <rPr>
        <b/>
        <sz val="12"/>
        <color theme="1"/>
        <rFont val="Calibri"/>
        <family val="2"/>
        <charset val="128"/>
        <scheme val="minor"/>
      </rPr>
      <t>total annual electricity consumed by residences</t>
    </r>
    <r>
      <rPr>
        <sz val="12"/>
        <color theme="1"/>
        <rFont val="Calibri"/>
        <family val="2"/>
        <charset val="128"/>
        <scheme val="minor"/>
      </rPr>
      <t>, in million Btu.</t>
    </r>
  </si>
  <si>
    <r>
      <t xml:space="preserve">This is the </t>
    </r>
    <r>
      <rPr>
        <b/>
        <sz val="12"/>
        <color theme="1"/>
        <rFont val="Calibri"/>
        <family val="2"/>
        <charset val="128"/>
        <scheme val="minor"/>
      </rPr>
      <t>total annual electricity consumed by residences</t>
    </r>
    <r>
      <rPr>
        <sz val="12"/>
        <color theme="1"/>
        <rFont val="Calibri"/>
        <family val="2"/>
        <charset val="128"/>
        <scheme val="minor"/>
      </rPr>
      <t>, in kilowatt hours.</t>
    </r>
  </si>
  <si>
    <r>
      <t xml:space="preserve">This is the </t>
    </r>
    <r>
      <rPr>
        <b/>
        <sz val="12"/>
        <color theme="1"/>
        <rFont val="Calibri"/>
        <family val="2"/>
        <charset val="128"/>
        <scheme val="minor"/>
      </rPr>
      <t>total annual electricity consumed by commercial/industrial facilities</t>
    </r>
    <r>
      <rPr>
        <sz val="12"/>
        <color theme="1"/>
        <rFont val="Calibri"/>
        <family val="2"/>
        <charset val="128"/>
        <scheme val="minor"/>
      </rPr>
      <t>, in million Btu.</t>
    </r>
  </si>
  <si>
    <r>
      <t xml:space="preserve">This is the </t>
    </r>
    <r>
      <rPr>
        <b/>
        <sz val="12"/>
        <color theme="1"/>
        <rFont val="Calibri"/>
        <family val="2"/>
        <charset val="128"/>
        <scheme val="minor"/>
      </rPr>
      <t>total annual electricity consumed by commercial/industrial facilities</t>
    </r>
    <r>
      <rPr>
        <sz val="12"/>
        <color theme="1"/>
        <rFont val="Calibri"/>
        <family val="2"/>
        <charset val="128"/>
        <scheme val="minor"/>
      </rPr>
      <t>, in kilowatt hours.</t>
    </r>
  </si>
  <si>
    <t>(VT State averages, US Census Bureau)</t>
  </si>
  <si>
    <t>:Total number of estimated cars (light-duty vehicles) in town</t>
  </si>
  <si>
    <r>
      <t>An estimate of the number of</t>
    </r>
    <r>
      <rPr>
        <b/>
        <sz val="11"/>
        <color theme="1"/>
        <rFont val="Calibri"/>
        <family val="2"/>
        <scheme val="minor"/>
      </rPr>
      <t xml:space="preserve"> gallons of fossil fuel consumed annually</t>
    </r>
    <r>
      <rPr>
        <sz val="11"/>
        <color theme="1"/>
        <rFont val="Calibri"/>
        <family val="2"/>
        <scheme val="minor"/>
      </rPr>
      <t>.</t>
    </r>
  </si>
  <si>
    <r>
      <t>This is the estimated</t>
    </r>
    <r>
      <rPr>
        <b/>
        <sz val="11"/>
        <color theme="1"/>
        <rFont val="Calibri"/>
        <family val="2"/>
        <scheme val="minor"/>
      </rPr>
      <t xml:space="preserve"> total annual energy heat consumption</t>
    </r>
    <r>
      <rPr>
        <sz val="11"/>
        <color theme="1"/>
        <rFont val="Calibri"/>
        <family val="2"/>
        <scheme val="minor"/>
      </rPr>
      <t xml:space="preserve"> for </t>
    </r>
    <r>
      <rPr>
        <b/>
        <sz val="11"/>
        <color theme="1"/>
        <rFont val="Calibri"/>
        <family val="2"/>
        <scheme val="minor"/>
      </rPr>
      <t xml:space="preserve">Residential and Commercial buildings in the area, in millions of Btu. </t>
    </r>
  </si>
  <si>
    <t>Of units occupied, by owner</t>
  </si>
  <si>
    <t>Of units occupied, by renter</t>
  </si>
  <si>
    <t>n/a</t>
  </si>
  <si>
    <t>% Vacant (Seasonal)</t>
  </si>
  <si>
    <t>% Occupied (Primary)</t>
  </si>
  <si>
    <t>Housing sum (county)</t>
  </si>
  <si>
    <t>Housing sum (non-county)</t>
  </si>
  <si>
    <t>Housing total</t>
  </si>
  <si>
    <t>Proportional multiplier</t>
  </si>
  <si>
    <t xml:space="preserve">for  counts of vehicles associated with area housing units </t>
  </si>
  <si>
    <r>
      <t xml:space="preserve">This is the </t>
    </r>
    <r>
      <rPr>
        <b/>
        <sz val="11"/>
        <color theme="1"/>
        <rFont val="Calibri"/>
        <family val="2"/>
        <scheme val="minor"/>
      </rPr>
      <t>total annual electricity consumption (2014 data), in million Btu.</t>
    </r>
  </si>
  <si>
    <r>
      <t xml:space="preserve">This is the </t>
    </r>
    <r>
      <rPr>
        <b/>
        <sz val="11"/>
        <color theme="1"/>
        <rFont val="Calibri"/>
        <family val="2"/>
        <scheme val="minor"/>
      </rPr>
      <t>total electricity consumed in town in 2014</t>
    </r>
    <r>
      <rPr>
        <sz val="11"/>
        <color theme="1"/>
        <rFont val="Calibri"/>
        <family val="2"/>
        <scheme val="minor"/>
      </rPr>
      <t>, in kilowatt hours.</t>
    </r>
  </si>
  <si>
    <r>
      <t xml:space="preserve">This is the </t>
    </r>
    <r>
      <rPr>
        <b/>
        <sz val="11"/>
        <color theme="1"/>
        <rFont val="Calibri"/>
        <family val="2"/>
        <charset val="128"/>
        <scheme val="minor"/>
      </rPr>
      <t>total annual electricity consumed by residences</t>
    </r>
    <r>
      <rPr>
        <sz val="11"/>
        <color theme="1"/>
        <rFont val="Calibri"/>
        <family val="2"/>
        <charset val="128"/>
        <scheme val="minor"/>
      </rPr>
      <t>, in million Btu.</t>
    </r>
  </si>
  <si>
    <r>
      <t xml:space="preserve">This is the </t>
    </r>
    <r>
      <rPr>
        <b/>
        <sz val="11"/>
        <color theme="1"/>
        <rFont val="Calibri"/>
        <family val="2"/>
        <charset val="128"/>
        <scheme val="minor"/>
      </rPr>
      <t>total annual electricity consumed by commercial/industrial facilities</t>
    </r>
    <r>
      <rPr>
        <sz val="11"/>
        <color theme="1"/>
        <rFont val="Calibri"/>
        <family val="2"/>
        <charset val="128"/>
        <scheme val="minor"/>
      </rPr>
      <t>, in million Btu.</t>
    </r>
  </si>
  <si>
    <t>Heating</t>
  </si>
  <si>
    <t>Transportation</t>
  </si>
  <si>
    <t>Total Employment (2015)</t>
  </si>
  <si>
    <r>
      <t xml:space="preserve">Total Commercial </t>
    </r>
    <r>
      <rPr>
        <sz val="10"/>
        <color rgb="FFFF0000"/>
        <rFont val="Calibri"/>
        <family val="2"/>
        <scheme val="minor"/>
      </rPr>
      <t>/ Industrial?</t>
    </r>
    <r>
      <rPr>
        <sz val="10"/>
        <color rgb="FF000000"/>
        <rFont val="Calibri"/>
        <family val="2"/>
        <scheme val="minor"/>
      </rPr>
      <t xml:space="preserve"> Buildings (2015)</t>
    </r>
  </si>
  <si>
    <t>SUM</t>
  </si>
  <si>
    <r>
      <t xml:space="preserve">Data taken from VTV Department of Labor's "Covered Employment &amp; Wages" 2015 data-set for towns.
</t>
    </r>
    <r>
      <rPr>
        <sz val="12"/>
        <color rgb="FFFF0000"/>
        <rFont val="Calibri"/>
        <family val="2"/>
        <scheme val="minor"/>
      </rPr>
      <t xml:space="preserve">The figures below can be used in sheet "2. Current Heat" for estimating commercial building heating load. </t>
    </r>
  </si>
  <si>
    <t>Electricity (1)</t>
  </si>
  <si>
    <t>Transportation (3)</t>
  </si>
  <si>
    <t>Propane</t>
  </si>
  <si>
    <t>Fuel type</t>
  </si>
  <si>
    <t>Windham county % use</t>
  </si>
  <si>
    <r>
      <t>(1)</t>
    </r>
    <r>
      <rPr>
        <u/>
        <sz val="11"/>
        <color theme="1"/>
        <rFont val="Calibri"/>
        <family val="2"/>
        <scheme val="minor"/>
      </rPr>
      <t xml:space="preserve"> $0.1435/KwH</t>
    </r>
    <r>
      <rPr>
        <sz val="11"/>
        <color theme="1"/>
        <rFont val="Calibri"/>
        <family val="2"/>
        <scheme val="minor"/>
      </rPr>
      <t xml:space="preserve">, based on VT state average for December 2016 end-use costs, from U.S. Energy Information Administration, https://www.eia.gov/electricity/monthly/epm_table_grapher.cfm?t=epmt_5_6_a </t>
    </r>
  </si>
  <si>
    <r>
      <t>(2)</t>
    </r>
    <r>
      <rPr>
        <u/>
        <sz val="11"/>
        <color theme="1"/>
        <rFont val="Calibri"/>
        <family val="2"/>
        <scheme val="minor"/>
      </rPr>
      <t xml:space="preserve"> See chart below</t>
    </r>
    <r>
      <rPr>
        <sz val="11"/>
        <color theme="1"/>
        <rFont val="Calibri"/>
        <family val="2"/>
        <scheme val="minor"/>
      </rPr>
      <t>, data from Vermont Fuel Price Report, January 2016, http://publicservice.vermont.gov/sites/dps/files/documents/Pubs_Plans_Reports/Fuel_Price_Report/2016/January%202016%20Fuel%20Price%20Report.pdf
and US Census Bureau average fuel use percentages for Windham County, https://factfinder.census.gov/faces/tableservices/jsf/pages/productview.xhtml?pid=ACS_15_5YR_CP04&amp;prodType=table</t>
    </r>
  </si>
  <si>
    <t>Fuel oil, kerosene, etc</t>
  </si>
  <si>
    <t>Wood, Pellet</t>
  </si>
  <si>
    <t>Cost per source</t>
  </si>
  <si>
    <t xml:space="preserve">This is the estimated total annual energy heat consumption for Residential and Commercial buildings in the area, in millions of Btu. </t>
  </si>
  <si>
    <t>This is the total annual estimated heating expenditure for Residential and Commercial buildings.</t>
  </si>
  <si>
    <r>
      <t>(3)</t>
    </r>
    <r>
      <rPr>
        <u/>
        <sz val="11"/>
        <color theme="1"/>
        <rFont val="Calibri"/>
        <family val="2"/>
        <scheme val="minor"/>
      </rPr>
      <t xml:space="preserve"> $2.3428/gallon</t>
    </r>
    <r>
      <rPr>
        <sz val="11"/>
        <color theme="1"/>
        <rFont val="Calibri"/>
        <family val="2"/>
        <scheme val="minor"/>
      </rPr>
      <t>, average price per gallon of retail petroleum products, based on January 2016 Vermont Fuel Price Report</t>
    </r>
  </si>
  <si>
    <r>
      <t xml:space="preserve">This is the estimated total annual energy consumption of </t>
    </r>
    <r>
      <rPr>
        <b/>
        <sz val="11"/>
        <color theme="1"/>
        <rFont val="Calibri"/>
        <family val="2"/>
        <scheme val="minor"/>
      </rPr>
      <t>internal combustion engine (ICE) vehicles in the area, in millions of Btu.</t>
    </r>
  </si>
  <si>
    <t>Total estimated annual energy cost in town.</t>
  </si>
  <si>
    <t>"Primary" (Occupied) residential building heat energy consumption</t>
  </si>
  <si>
    <t>"Seasonal" (Vacant) residential heat energy consumption</t>
  </si>
  <si>
    <t>This is how much heat energy is estimated to be used by seasonal homes, based on a 15% consumption rate of primary homes (LEAP model estimates), in millions of Btu.</t>
  </si>
  <si>
    <r>
      <t>This is how much heat energy would be used by seasonal homes,</t>
    </r>
    <r>
      <rPr>
        <i/>
        <sz val="11"/>
        <color theme="1"/>
        <rFont val="Calibri"/>
        <family val="2"/>
        <scheme val="minor"/>
      </rPr>
      <t xml:space="preserve"> if the annual consumption rate were the same as per primary homes.</t>
    </r>
  </si>
  <si>
    <t>No fuel used</t>
  </si>
  <si>
    <t>Owner-occupied</t>
  </si>
  <si>
    <t>Renter-occupied</t>
  </si>
  <si>
    <t>Number of HH's</t>
  </si>
  <si>
    <t>Avg. ppl per HH</t>
  </si>
  <si>
    <r>
      <rPr>
        <sz val="11"/>
        <color theme="1"/>
        <rFont val="Calibri"/>
        <family val="2"/>
        <scheme val="minor"/>
      </rPr>
      <t xml:space="preserve">sqft heated by </t>
    </r>
    <r>
      <rPr>
        <b/>
        <sz val="11"/>
        <color theme="1"/>
        <rFont val="Calibri"/>
        <family val="2"/>
        <scheme val="minor"/>
      </rPr>
      <t xml:space="preserve">
Fuel Oil, kerosene, etc</t>
    </r>
  </si>
  <si>
    <r>
      <t xml:space="preserve">sqft heated by 
</t>
    </r>
    <r>
      <rPr>
        <b/>
        <sz val="11"/>
        <color theme="1"/>
        <rFont val="Calibri"/>
        <family val="2"/>
        <scheme val="minor"/>
      </rPr>
      <t>Bottled, tank, or LP gas</t>
    </r>
  </si>
  <si>
    <r>
      <rPr>
        <sz val="11"/>
        <color theme="1"/>
        <rFont val="Calibri"/>
        <family val="2"/>
        <scheme val="minor"/>
      </rPr>
      <t xml:space="preserve">sqft heated by 
</t>
    </r>
    <r>
      <rPr>
        <b/>
        <sz val="11"/>
        <color theme="1"/>
        <rFont val="Calibri"/>
        <family val="2"/>
        <scheme val="minor"/>
      </rPr>
      <t>Utility gas</t>
    </r>
  </si>
  <si>
    <r>
      <t xml:space="preserve">sqft heated by 
</t>
    </r>
    <r>
      <rPr>
        <b/>
        <sz val="11"/>
        <color theme="1"/>
        <rFont val="Calibri"/>
        <family val="2"/>
        <scheme val="minor"/>
      </rPr>
      <t>Electricity</t>
    </r>
  </si>
  <si>
    <r>
      <rPr>
        <sz val="11"/>
        <color theme="1"/>
        <rFont val="Calibri"/>
        <family val="2"/>
        <scheme val="minor"/>
      </rPr>
      <t xml:space="preserve">sqft heated by </t>
    </r>
    <r>
      <rPr>
        <b/>
        <sz val="11"/>
        <color theme="1"/>
        <rFont val="Calibri"/>
        <family val="2"/>
        <scheme val="minor"/>
      </rPr>
      <t xml:space="preserve">
Coal or Coke</t>
    </r>
  </si>
  <si>
    <r>
      <rPr>
        <sz val="11"/>
        <color theme="1"/>
        <rFont val="Calibri"/>
        <family val="2"/>
        <scheme val="minor"/>
      </rPr>
      <t xml:space="preserve">sqft heated by </t>
    </r>
    <r>
      <rPr>
        <b/>
        <sz val="11"/>
        <color theme="1"/>
        <rFont val="Calibri"/>
        <family val="2"/>
        <scheme val="minor"/>
      </rPr>
      <t xml:space="preserve">
Wood</t>
    </r>
  </si>
  <si>
    <r>
      <rPr>
        <sz val="11"/>
        <color theme="1"/>
        <rFont val="Calibri"/>
        <family val="2"/>
        <scheme val="minor"/>
      </rPr>
      <t xml:space="preserve">sqft heated by </t>
    </r>
    <r>
      <rPr>
        <b/>
        <sz val="11"/>
        <color theme="1"/>
        <rFont val="Calibri"/>
        <family val="2"/>
        <scheme val="minor"/>
      </rPr>
      <t xml:space="preserve">
Solar</t>
    </r>
  </si>
  <si>
    <r>
      <rPr>
        <sz val="11"/>
        <color theme="1"/>
        <rFont val="Calibri"/>
        <family val="2"/>
        <scheme val="minor"/>
      </rPr>
      <t xml:space="preserve">sqft heated by </t>
    </r>
    <r>
      <rPr>
        <b/>
        <sz val="11"/>
        <color theme="1"/>
        <rFont val="Calibri"/>
        <family val="2"/>
        <scheme val="minor"/>
      </rPr>
      <t xml:space="preserve">
Other</t>
    </r>
  </si>
  <si>
    <t>Owner</t>
  </si>
  <si>
    <t>Renter</t>
  </si>
  <si>
    <t>1 gallon of propane = 91,000 BTUs</t>
  </si>
  <si>
    <t>1 kWh electricity = 3,414 BTUs</t>
  </si>
  <si>
    <t>1 gal heating oil = 140,000 BTUs</t>
  </si>
  <si>
    <t>1 pound coal = 11,560 BTUs</t>
  </si>
  <si>
    <t>1 pound wood (pellets) = 8,750 BTUs</t>
  </si>
  <si>
    <t>(no fuel)</t>
  </si>
  <si>
    <t>$3.45 / gallon propane</t>
  </si>
  <si>
    <t>$0.1471 / kWh</t>
  </si>
  <si>
    <t>$2.75 / gallon heating oil</t>
  </si>
  <si>
    <t>$0.16 / pound coal</t>
  </si>
  <si>
    <t>$0.1687 / pound wood (pellets)</t>
  </si>
  <si>
    <t>Total home heating expenses:</t>
  </si>
  <si>
    <t>Total heating expenses:</t>
  </si>
  <si>
    <t>Utility gas</t>
  </si>
  <si>
    <t>Bottled, tank, or LP gas</t>
  </si>
  <si>
    <t>Coal or coke</t>
  </si>
  <si>
    <t>Wood</t>
  </si>
  <si>
    <t>Solar</t>
  </si>
  <si>
    <t>Other</t>
  </si>
  <si>
    <t>No fuel</t>
  </si>
  <si>
    <t>Total BTU's used</t>
  </si>
  <si>
    <t xml:space="preserve">Enter an estimate of the average annual heating load of area residences, in millions of Btu (for space and water heating combined). For the State as a whole, this figure is around 110 MMMBtu. The vast majority of residential heating loads can safely be assumed to fall between 70 and 150 MMMBtu per year. Below are some useful statistics for benchmarking your estimate. </t>
  </si>
  <si>
    <t>Estimate the average annual heating load of commercial establishments in area, in millions of Btu (space and water heating loads combined).  For the state as a whole, the average is in the range of 700 MMMBtu to 750 MMMBtu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</si>
  <si>
    <t>2007 (MMBtu)</t>
  </si>
  <si>
    <t>$/MMBtu</t>
  </si>
  <si>
    <t>MMBtu per source</t>
  </si>
  <si>
    <r>
      <t>Tabs "</t>
    </r>
    <r>
      <rPr>
        <i/>
        <sz val="11"/>
        <color theme="1"/>
        <rFont val="Calibri"/>
        <family val="2"/>
        <scheme val="minor"/>
      </rPr>
      <t>(B)Data- Regional Housing Units</t>
    </r>
    <r>
      <rPr>
        <sz val="11"/>
        <color theme="1"/>
        <rFont val="Calibri"/>
        <family val="2"/>
        <scheme val="minor"/>
      </rPr>
      <t xml:space="preserve"> and "(</t>
    </r>
    <r>
      <rPr>
        <i/>
        <sz val="11"/>
        <color theme="1"/>
        <rFont val="Calibri"/>
        <family val="2"/>
        <scheme val="minor"/>
      </rPr>
      <t>C)Data- Commercial Buildings</t>
    </r>
    <r>
      <rPr>
        <sz val="11"/>
        <color theme="1"/>
        <rFont val="Calibri"/>
        <family val="2"/>
        <scheme val="minor"/>
      </rPr>
      <t>" contains information derived from the US Census Bureau and the VT Department of Labor, respectively, that will provide information necessary for the heat and electricity demand calculations of the Windham Region's towns.</t>
    </r>
  </si>
  <si>
    <t xml:space="preserve">All cells requiring Planner inputs are formatted like this (this is already completed for your town, but you may choose to change these values): </t>
  </si>
  <si>
    <t>Cells providing a result, or a completed energy use estimate are formatted like this (this is the data you'll use in your plan):</t>
  </si>
  <si>
    <t>Estimates of current energy consumption for municipalities across sectors</t>
  </si>
  <si>
    <r>
      <t>All cells formula providing input,</t>
    </r>
    <r>
      <rPr>
        <i/>
        <sz val="12"/>
        <color theme="1"/>
        <rFont val="Calibri"/>
        <family val="2"/>
        <scheme val="minor"/>
      </rPr>
      <t xml:space="preserve"> </t>
    </r>
    <r>
      <rPr>
        <b/>
        <i/>
        <sz val="12"/>
        <color theme="1"/>
        <rFont val="Calibri"/>
        <family val="2"/>
        <scheme val="minor"/>
      </rPr>
      <t>but are based on state averages,</t>
    </r>
    <r>
      <rPr>
        <sz val="12"/>
        <color theme="1"/>
        <rFont val="Calibri"/>
        <family val="2"/>
        <scheme val="minor"/>
      </rPr>
      <t>look like this (also completed for your town, but you can play with these assumptions and averages as appropriate for your municipality)</t>
    </r>
    <r>
      <rPr>
        <sz val="12"/>
        <color theme="1"/>
        <rFont val="Calibri"/>
        <family val="2"/>
        <charset val="128"/>
        <scheme val="minor"/>
      </rPr>
      <t>:</t>
    </r>
  </si>
  <si>
    <t>This is the estimated total annual energy consumption amount for light-duty passenger transportation purposes, in millions of Btu. It is produced from the calculation steps below which depend on assumptions inputted into each of the colored cells.</t>
  </si>
  <si>
    <t xml:space="preserve">This is the energy consumed by electric vehicles. This formula converts the volume of kWh computed above into its equivalent amount of Btu, in millions. </t>
  </si>
  <si>
    <t>Other statistics and assumptions</t>
  </si>
  <si>
    <r>
      <rPr>
        <b/>
        <u/>
        <sz val="16"/>
        <color theme="1"/>
        <rFont val="Calibri"/>
        <family val="2"/>
        <scheme val="minor"/>
      </rPr>
      <t>Estimating current light-duty vehicle (LDV) transportation energy consumption in an area</t>
    </r>
    <r>
      <rPr>
        <sz val="16"/>
        <color theme="1"/>
        <rFont val="Calibri"/>
        <family val="2"/>
        <scheme val="minor"/>
      </rPr>
      <t xml:space="preserve">
</t>
    </r>
    <r>
      <rPr>
        <sz val="12"/>
        <color theme="1"/>
        <rFont val="Calibri"/>
        <family val="2"/>
        <scheme val="minor"/>
      </rPr>
      <t xml:space="preserve">
The procedure outlined below can be used to estimate consumption of light-duty vehicles for your individual municipalitity. It includes: # BTUs consumed, # gallons of fossil fuel comsumed, amount of energy consumed by electric vehicles, and the assumptions and averages included to complete those calculations.</t>
    </r>
  </si>
  <si>
    <t>*Note that the share of consumption attributable to electric vehicles in any given area today will be very small. It is nonetheless important for Planners to take stock of local electric vehicle usage.</t>
  </si>
  <si>
    <r>
      <rPr>
        <b/>
        <u/>
        <sz val="16"/>
        <color theme="1"/>
        <rFont val="Calibri"/>
        <family val="2"/>
        <scheme val="minor"/>
      </rPr>
      <t xml:space="preserve">Estimating current non-industrial building (Residential and Commercial) heat energy consumption in an area 
</t>
    </r>
    <r>
      <rPr>
        <sz val="12"/>
        <color theme="1"/>
        <rFont val="Calibri"/>
        <family val="2"/>
        <scheme val="minor"/>
      </rPr>
      <t xml:space="preserve">
The procedure outlined below can be used to estimate heat energy consumption of residential and commercial spaces in the municipality. It also provides estimates for seasonal homes, based on US Census Bureau data.</t>
    </r>
  </si>
  <si>
    <t>% of Regional Population</t>
  </si>
  <si>
    <t>Population (2015 Census Projection)</t>
  </si>
  <si>
    <t>Housing Units (2010 Census )</t>
  </si>
  <si>
    <t># Units "Occupied"</t>
  </si>
  <si>
    <t>The information below is used to calculate the estimated energy expenditures in the municipality. See data sources and assumptions below.</t>
  </si>
  <si>
    <r>
      <t xml:space="preserve"># Vacant </t>
    </r>
    <r>
      <rPr>
        <sz val="11"/>
        <color theme="1"/>
        <rFont val="Calibri"/>
        <family val="2"/>
        <scheme val="minor"/>
      </rPr>
      <t>(includes seasonal/ recreational)</t>
    </r>
  </si>
  <si>
    <r>
      <t xml:space="preserve">Enter the percent of all housing units that are Occupied (Primary) homes in the town </t>
    </r>
    <r>
      <rPr>
        <sz val="11"/>
        <color rgb="FFFF0000"/>
        <rFont val="Calibri"/>
        <family val="2"/>
        <scheme val="minor"/>
      </rPr>
      <t xml:space="preserve">(see sheet </t>
    </r>
    <r>
      <rPr>
        <i/>
        <sz val="11"/>
        <color rgb="FFFF0000"/>
        <rFont val="Calibri"/>
        <family val="2"/>
        <scheme val="minor"/>
      </rPr>
      <t>"(B)Data- Regional Housing Units", column K</t>
    </r>
    <r>
      <rPr>
        <sz val="11"/>
        <color rgb="FFFF0000"/>
        <rFont val="Calibri"/>
        <family val="2"/>
        <scheme val="minor"/>
      </rPr>
      <t>)</t>
    </r>
  </si>
  <si>
    <r>
      <t xml:space="preserve">Enter the percent of all housing units that are Seasonal (Vacant) homes in the town </t>
    </r>
    <r>
      <rPr>
        <sz val="11"/>
        <color rgb="FFFF0000"/>
        <rFont val="Calibri"/>
        <family val="2"/>
        <scheme val="minor"/>
      </rPr>
      <t xml:space="preserve">(see sheet </t>
    </r>
    <r>
      <rPr>
        <i/>
        <sz val="11"/>
        <color rgb="FFFF0000"/>
        <rFont val="Calibri"/>
        <family val="2"/>
        <scheme val="minor"/>
      </rPr>
      <t>"(B)Data- Regional Housing Units", column L</t>
    </r>
    <r>
      <rPr>
        <sz val="11"/>
        <color rgb="FFFF0000"/>
        <rFont val="Calibri"/>
        <family val="2"/>
        <scheme val="minor"/>
      </rPr>
      <t>)</t>
    </r>
  </si>
  <si>
    <r>
      <t xml:space="preserve">Enter the total number of commercial buildings in the area </t>
    </r>
    <r>
      <rPr>
        <sz val="11"/>
        <color rgb="FFFF0000"/>
        <rFont val="Calibri"/>
        <family val="2"/>
        <scheme val="minor"/>
      </rPr>
      <t>(see sheet "</t>
    </r>
    <r>
      <rPr>
        <i/>
        <sz val="11"/>
        <color rgb="FFFF0000"/>
        <rFont val="Calibri"/>
        <family val="2"/>
        <scheme val="minor"/>
      </rPr>
      <t>(C) Data- Commercial Buildings", column S,</t>
    </r>
    <r>
      <rPr>
        <sz val="11"/>
        <color rgb="FFFF0000"/>
        <rFont val="Calibri"/>
        <family val="2"/>
        <scheme val="minor"/>
      </rPr>
      <t xml:space="preserve"> for VT DOL data for Windham towns)</t>
    </r>
  </si>
  <si>
    <r>
      <t xml:space="preserve">Enter the total number of occupied residential buildings in the area </t>
    </r>
    <r>
      <rPr>
        <sz val="11"/>
        <color rgb="FFFF0000"/>
        <rFont val="Calibri"/>
        <family val="2"/>
        <scheme val="minor"/>
      </rPr>
      <t>(see sheet "</t>
    </r>
    <r>
      <rPr>
        <i/>
        <sz val="11"/>
        <color rgb="FFFF0000"/>
        <rFont val="Calibri"/>
        <family val="2"/>
        <scheme val="minor"/>
      </rPr>
      <t>(B) Data- Regional Housing Units", column F</t>
    </r>
    <r>
      <rPr>
        <sz val="11"/>
        <color rgb="FFFF0000"/>
        <rFont val="Calibri"/>
        <family val="2"/>
        <scheme val="minor"/>
      </rPr>
      <t>)</t>
    </r>
  </si>
  <si>
    <t xml:space="preserve">The procedure below is used to calculate the amount of electricity used in the municipality in recent years. The data used in Rows 8-12 below are provided to the RPC's by Efficiency Vermont, which gathered usage data from multiple service providers. </t>
  </si>
  <si>
    <t>2008 (Kwh)</t>
  </si>
  <si>
    <t>2009 (Kwh)</t>
  </si>
  <si>
    <t>2010 (Kwh)</t>
  </si>
  <si>
    <t>2011 (Kwh)</t>
  </si>
  <si>
    <t>2012 (Kwh)</t>
  </si>
  <si>
    <t>2013 (Kwh)</t>
  </si>
  <si>
    <t>2014 (Kwh)</t>
  </si>
  <si>
    <t>2008 (MMBtu)</t>
  </si>
  <si>
    <t>2009 (MMBtu)</t>
  </si>
  <si>
    <t>2010 (MMBtu)</t>
  </si>
  <si>
    <t>2011 (MMBtu)</t>
  </si>
  <si>
    <t>2012 (MMBtu)</t>
  </si>
  <si>
    <t>2013 (MMBtu)</t>
  </si>
  <si>
    <t>2014 (MMBtu)</t>
  </si>
  <si>
    <t>2008 (Gwh)</t>
  </si>
  <si>
    <t>2009 (Gwh)</t>
  </si>
  <si>
    <t>2010 (Gwh)</t>
  </si>
  <si>
    <t>2011 (Gwh)</t>
  </si>
  <si>
    <t>2012 (Gwh)</t>
  </si>
  <si>
    <t>2013 (Gwh)</t>
  </si>
  <si>
    <t>2014 (Gwh)</t>
  </si>
  <si>
    <t>Residential</t>
  </si>
  <si>
    <t>Comm. &amp; Indust.</t>
  </si>
  <si>
    <r>
      <t xml:space="preserve">:Number of occupied housing units in town 
(see sheet </t>
    </r>
    <r>
      <rPr>
        <sz val="12"/>
        <color rgb="FFFF0000"/>
        <rFont val="Calibri"/>
        <family val="2"/>
        <scheme val="minor"/>
      </rPr>
      <t>"</t>
    </r>
    <r>
      <rPr>
        <i/>
        <sz val="12"/>
        <color rgb="FFFF0000"/>
        <rFont val="Calibri"/>
        <family val="2"/>
        <scheme val="minor"/>
      </rPr>
      <t>(B)Data- Regional Housing Units</t>
    </r>
    <r>
      <rPr>
        <sz val="12"/>
        <color rgb="FFFF0000"/>
        <rFont val="Calibri"/>
        <family val="2"/>
        <scheme val="minor"/>
      </rPr>
      <t>", column F)</t>
    </r>
  </si>
  <si>
    <r>
      <t>For Sheet "</t>
    </r>
    <r>
      <rPr>
        <i/>
        <sz val="12"/>
        <color theme="1"/>
        <rFont val="Calibri"/>
        <family val="2"/>
        <scheme val="minor"/>
      </rPr>
      <t>1.Current Trans</t>
    </r>
    <r>
      <rPr>
        <sz val="12"/>
        <color theme="1"/>
        <rFont val="Calibri"/>
        <family val="2"/>
        <scheme val="minor"/>
      </rPr>
      <t>": "Enter an estimate of the number of fossil-fuel burning LDV in the area"</t>
    </r>
  </si>
  <si>
    <r>
      <rPr>
        <b/>
        <sz val="11"/>
        <color theme="1"/>
        <rFont val="Calibri"/>
        <family val="2"/>
        <scheme val="minor"/>
      </rPr>
      <t xml:space="preserve">NUMBER OF CARS WORKSPACE
This sheet allows you to find the estimated number of vehicles in your town, based on housing units and averages of households and their associated number of vehicles. The resulting figure in Row 13 can be used in Sheet "1. Current Trans"
</t>
    </r>
    <r>
      <rPr>
        <sz val="11"/>
        <color theme="1"/>
        <rFont val="Calibri"/>
        <family val="2"/>
        <scheme val="minor"/>
      </rPr>
      <t xml:space="preserve">
Source: US Census Bureau. https://factfinder.census.gov/faces/nav/jsf/pages/searchresults.xhtml?refresh=t</t>
    </r>
  </si>
  <si>
    <r>
      <rPr>
        <b/>
        <sz val="11"/>
        <color theme="1"/>
        <rFont val="Calibri"/>
        <family val="2"/>
        <scheme val="minor"/>
      </rPr>
      <t xml:space="preserve">REGIONAL HOUSING UNITS DATA
This sheet is provides the user with data necessary to complete calulcations in Sheet "2. Current Heat" It provides population and housing data from the US Census Bureau for each town in Windham Region. In the Census data, "Vacant" homes refer to homes that are unoccupied or availbale for recreational or seasonal use. This is opposed to "Occupied" homes, which are year-round primary homes for residents.
</t>
    </r>
    <r>
      <rPr>
        <sz val="11"/>
        <color theme="1"/>
        <rFont val="Calibri"/>
        <family val="2"/>
        <scheme val="minor"/>
      </rPr>
      <t xml:space="preserve">
Source: US Census Bureau. https://factfinder.census.gov/faces/nav/jsf/pages/searchresults.xhtml?refresh=t</t>
    </r>
  </si>
  <si>
    <r>
      <t>Tab "</t>
    </r>
    <r>
      <rPr>
        <i/>
        <sz val="11"/>
        <color theme="1"/>
        <rFont val="Calibri"/>
        <family val="2"/>
        <scheme val="minor"/>
      </rPr>
      <t xml:space="preserve">(A) Workspace- # of Cars" </t>
    </r>
    <r>
      <rPr>
        <sz val="11"/>
        <color theme="1"/>
        <rFont val="Calibri"/>
        <family val="2"/>
        <scheme val="minor"/>
      </rPr>
      <t>is an extra space to do calculations necessary for estimating the current transportation energy demand.</t>
    </r>
  </si>
  <si>
    <r>
      <t xml:space="preserve">Enter an estimate of the number of fossil-fuel burning LDV in the area. It is not necessary to distinguish between diesel and gasoline burning vehicles. </t>
    </r>
    <r>
      <rPr>
        <sz val="11"/>
        <color rgb="FFFF0000"/>
        <rFont val="Calibri"/>
        <family val="2"/>
        <scheme val="minor"/>
      </rPr>
      <t>(See Sheet "</t>
    </r>
    <r>
      <rPr>
        <i/>
        <sz val="11"/>
        <color rgb="FFFF0000"/>
        <rFont val="Calibri"/>
        <family val="2"/>
        <scheme val="minor"/>
      </rPr>
      <t>(A)Workspace- # of Cars</t>
    </r>
    <r>
      <rPr>
        <sz val="11"/>
        <color rgb="FFFF0000"/>
        <rFont val="Calibri"/>
        <family val="2"/>
        <scheme val="minor"/>
      </rPr>
      <t xml:space="preserve"> to calculate this estimate).</t>
    </r>
  </si>
  <si>
    <t>Data is taken from the U.S. Census Bureau's American FactFinder to find the percentages of owner- and renter-occupied households that use a given fuel type (and is then inserted into the orange input cells for your town).</t>
  </si>
  <si>
    <r>
      <rPr>
        <b/>
        <u/>
        <sz val="14"/>
        <color theme="1"/>
        <rFont val="Calibri"/>
        <family val="2"/>
        <scheme val="minor"/>
      </rPr>
      <t xml:space="preserve">Home Heating Consumption by Fuel Type
</t>
    </r>
    <r>
      <rPr>
        <sz val="12"/>
        <color theme="1"/>
        <rFont val="Calibri"/>
        <family val="2"/>
        <charset val="128"/>
        <scheme val="minor"/>
      </rPr>
      <t xml:space="preserve">
The procedure outlined below can be used to estimate home-heating consumption by fuel type, and their associated costs, for individual municipalities within the region.</t>
    </r>
  </si>
  <si>
    <t>Total occupied households (HH's) in town:</t>
  </si>
  <si>
    <t>Ntnl. median SQFT per person</t>
  </si>
  <si>
    <t>Total estimated SQFT of housing type in town</t>
  </si>
  <si>
    <t>1. Calculate the sqft of household heated by fuel (US Census Bureau):</t>
  </si>
  <si>
    <t>2. Calculate approx. BTU's of energy used annually for heating (assume rate of 60,000 BTUs per sqft of housing in VT), per fuel type:</t>
  </si>
  <si>
    <t>3. Convert BTU's to unit of each fuel type:</t>
  </si>
  <si>
    <t>4. Calculate cost of fuel consumed, with assumed prices for each fuel type (may shift over time):</t>
  </si>
  <si>
    <t>National estimates on BTU's per sqft, cost of fuel per unit, etc are from survey averages and estimates (US Energy Information Administration). These values may shift over time, but provide a guide for policy. These assumptions (entered into the yellow cells) can be changed if believed to be more appropriate for your town.</t>
  </si>
  <si>
    <r>
      <t xml:space="preserve">Current Municipal Transportation Energy Use 
</t>
    </r>
    <r>
      <rPr>
        <sz val="12"/>
        <color theme="1"/>
        <rFont val="Calibri"/>
        <family val="2"/>
        <scheme val="minor"/>
      </rPr>
      <t>(Standard 5A), Sheet "1. Current Trans"</t>
    </r>
  </si>
  <si>
    <t>Total owner-occupied home heating expenses:</t>
  </si>
  <si>
    <t>Total renter-occupied home heating expenses:</t>
  </si>
  <si>
    <t>Total home heating expenses.</t>
  </si>
  <si>
    <r>
      <t xml:space="preserve">Total money spent on </t>
    </r>
    <r>
      <rPr>
        <b/>
        <sz val="11"/>
        <color theme="1"/>
        <rFont val="Calibri"/>
        <family val="2"/>
        <scheme val="minor"/>
      </rPr>
      <t>renter-occupied home heating expenses.</t>
    </r>
  </si>
  <si>
    <r>
      <t xml:space="preserve">Total money spent on </t>
    </r>
    <r>
      <rPr>
        <b/>
        <sz val="11"/>
        <color theme="1"/>
        <rFont val="Calibri"/>
        <family val="2"/>
        <scheme val="minor"/>
      </rPr>
      <t>owner-occupied home heating expenses.</t>
    </r>
  </si>
  <si>
    <t>Total number of vehicles in town (US Census Data estimate).</t>
  </si>
  <si>
    <t>Average miles per vehicles (Vtrans average).</t>
  </si>
  <si>
    <t>Total estimated miles traveled in town.</t>
  </si>
  <si>
    <t>Average gallons used per vehicle per year (Vtrans average).</t>
  </si>
  <si>
    <r>
      <t xml:space="preserve">Total </t>
    </r>
    <r>
      <rPr>
        <b/>
        <sz val="11"/>
        <color theme="1"/>
        <rFont val="Calibri"/>
        <family val="2"/>
        <scheme val="minor"/>
      </rPr>
      <t>money spent on transportation fuel annual in town</t>
    </r>
    <r>
      <rPr>
        <sz val="11"/>
        <color theme="1"/>
        <rFont val="Calibri"/>
        <family val="2"/>
        <scheme val="minor"/>
      </rPr>
      <t xml:space="preserve"> ($2.3428/gallon, average price per gallon of retail petroleum products, based on January 2016 Vermont Fuel Price Report).</t>
    </r>
  </si>
  <si>
    <r>
      <rPr>
        <b/>
        <sz val="14"/>
        <color theme="1"/>
        <rFont val="Calibri"/>
        <family val="2"/>
        <scheme val="minor"/>
      </rPr>
      <t>Current Municipal Heating Use</t>
    </r>
    <r>
      <rPr>
        <sz val="11"/>
        <color theme="1"/>
        <rFont val="Calibri"/>
        <family val="2"/>
        <scheme val="minor"/>
      </rPr>
      <t xml:space="preserve">
</t>
    </r>
    <r>
      <rPr>
        <sz val="12"/>
        <color theme="1"/>
        <rFont val="Calibri"/>
        <family val="2"/>
        <scheme val="minor"/>
      </rPr>
      <t>(Standard 5a), Sheet "2. Current Heat" and "3. Current Home Heating Detail"</t>
    </r>
  </si>
  <si>
    <t>Fuel Source</t>
  </si>
  <si>
    <r>
      <rPr>
        <b/>
        <sz val="14"/>
        <color theme="1"/>
        <rFont val="Calibri"/>
        <family val="2"/>
        <scheme val="minor"/>
      </rPr>
      <t>Current Home Heating Use by Fuel and Ownership Type</t>
    </r>
    <r>
      <rPr>
        <sz val="11"/>
        <color theme="1"/>
        <rFont val="Calibri"/>
        <family val="2"/>
        <scheme val="minor"/>
      </rPr>
      <t xml:space="preserve">
</t>
    </r>
    <r>
      <rPr>
        <sz val="12"/>
        <color theme="1"/>
        <rFont val="Calibri"/>
        <family val="2"/>
        <scheme val="minor"/>
      </rPr>
      <t>(Standard 5a), Sheet "3. Current Home Heating Detail"</t>
    </r>
  </si>
  <si>
    <t>Percent heating fuel type used per ownership, from BTU's consumed:</t>
  </si>
  <si>
    <t>Percent heating fuel type used in owner-occupied homes:</t>
  </si>
  <si>
    <t>Percent heating fuel type used in renter-occupied homes:</t>
  </si>
  <si>
    <t>Number of Owner-occupied households heated by fuel type:</t>
  </si>
  <si>
    <t>Number of Renter-occupied households heated by fuel type:</t>
  </si>
  <si>
    <t>&lt;The multiplier used in this calculation is based on sqft and occupancy rates.</t>
  </si>
  <si>
    <r>
      <rPr>
        <b/>
        <sz val="14"/>
        <color theme="1"/>
        <rFont val="Calibri"/>
        <family val="2"/>
        <scheme val="minor"/>
      </rPr>
      <t>Current Municipal Electricity Use (by zip code)</t>
    </r>
    <r>
      <rPr>
        <sz val="11"/>
        <color theme="1"/>
        <rFont val="Calibri"/>
        <family val="2"/>
        <scheme val="minor"/>
      </rPr>
      <t xml:space="preserve">
</t>
    </r>
    <r>
      <rPr>
        <sz val="12"/>
        <color theme="1"/>
        <rFont val="Calibri"/>
        <family val="2"/>
        <scheme val="minor"/>
      </rPr>
      <t>(Standard 5a), Sheet "4. Current Electricity"</t>
    </r>
  </si>
  <si>
    <r>
      <t xml:space="preserve">This is the estimated annual heat energy consumption of </t>
    </r>
    <r>
      <rPr>
        <b/>
        <sz val="11"/>
        <color theme="1"/>
        <rFont val="Calibri"/>
        <family val="2"/>
        <scheme val="minor"/>
      </rPr>
      <t>Primary residential buildings in the area, in millions of Btu.</t>
    </r>
  </si>
  <si>
    <r>
      <t xml:space="preserve">This is the estimated annual heat energy consumption of </t>
    </r>
    <r>
      <rPr>
        <b/>
        <sz val="11"/>
        <color theme="1"/>
        <rFont val="Calibri"/>
        <family val="2"/>
        <scheme val="minor"/>
      </rPr>
      <t>Commercial buildings in the area, in millions of Btu.</t>
    </r>
  </si>
  <si>
    <r>
      <t xml:space="preserve">This is the estimated annual heat energy consumption of </t>
    </r>
    <r>
      <rPr>
        <b/>
        <sz val="11"/>
        <color theme="1"/>
        <rFont val="Calibri"/>
        <family val="2"/>
        <scheme val="minor"/>
      </rPr>
      <t>Seasonal residential buildings in the area, in millions of Btu.</t>
    </r>
  </si>
  <si>
    <t>Total estimated money spent on electricty in town, in 2014:</t>
  </si>
  <si>
    <t xml:space="preserve">Heating (2)   </t>
  </si>
  <si>
    <r>
      <rPr>
        <b/>
        <sz val="14"/>
        <color theme="1"/>
        <rFont val="Calibri"/>
        <family val="2"/>
        <scheme val="minor"/>
      </rPr>
      <t>Comparative Totals: Energy Expenditures</t>
    </r>
    <r>
      <rPr>
        <sz val="11"/>
        <color theme="1"/>
        <rFont val="Calibri"/>
        <family val="2"/>
        <scheme val="minor"/>
      </rPr>
      <t xml:space="preserve">
(Standard 4, energy costs)</t>
    </r>
  </si>
  <si>
    <t>Total estimated annual energy consumption in town, in million Btu's.</t>
  </si>
  <si>
    <r>
      <t xml:space="preserve">Comparative Totals: Energy Consumption (MMBtu)
</t>
    </r>
    <r>
      <rPr>
        <sz val="12"/>
        <color theme="1"/>
        <rFont val="Calibri"/>
        <family val="2"/>
        <scheme val="minor"/>
      </rPr>
      <t>(Standard 5a)</t>
    </r>
  </si>
  <si>
    <t>This sheet summarizes the current energy consumption estimates for your town, and references the calculations from the subsequent sheets. You may choose to copy/paste the data from this sheet right into your town's energy plan, or move through the subsequent sheets to see how the calculations were done and with what assumptions. Some inputs can be adjusted to customize the data to be more relevant to your municipality, if needed.</t>
  </si>
  <si>
    <r>
      <rPr>
        <b/>
        <sz val="11"/>
        <color theme="1"/>
        <rFont val="Calibri"/>
        <family val="2"/>
        <scheme val="minor"/>
      </rPr>
      <t xml:space="preserve">COMMERCIAL BUILDINGS DATA
The chart below provides the user with the number of commerical buildings in town, based on the VT Department of Labor's Labor Statistics. The number of each building type is enter into the cells in Columns E-R. The total number of commercial buildings for these business types is in Column S.  The data for each town in the Windham Region is taken from this chart and placed into cells J27-J40 in Sheet "2. Current Heat" 
</t>
    </r>
    <r>
      <rPr>
        <sz val="11"/>
        <color theme="1"/>
        <rFont val="Calibri"/>
        <family val="2"/>
        <scheme val="minor"/>
      </rPr>
      <t xml:space="preserve">
Source: VT DOL's Labor Statistics. http://www.vtlmi.info/indareanaics.cfm?areatype=01&amp;src=cew&amp;base=ind2015&amp;from=ind2015&amp;chgtype=numeric&amp;area=000&amp;tw=Y</t>
    </r>
  </si>
  <si>
    <t>To use this workbook, Planners have the option to copy/paste their town's data from the "DATA SUMMARY" tab right into their energy plan. However, planners could also enter the necessary assumptions into the input cells in the tabs labeled, "1.Current Trans," "2. Current Heat", "3. Current Home Heating Detail" "4. Current Electricity" if they feel like their town-specific assumptions would make the estimates more accurate.</t>
  </si>
  <si>
    <r>
      <t xml:space="preserve"> (or, see sheet "</t>
    </r>
    <r>
      <rPr>
        <i/>
        <sz val="11"/>
        <color rgb="FFFF0000"/>
        <rFont val="Calibri"/>
        <family val="2"/>
        <scheme val="minor"/>
      </rPr>
      <t>(B) Data- Regional Housing Units", column F</t>
    </r>
    <r>
      <rPr>
        <sz val="11"/>
        <color rgb="FFFF0000"/>
        <rFont val="Calibri"/>
        <family val="2"/>
        <scheme val="minor"/>
      </rPr>
      <t>)</t>
    </r>
  </si>
  <si>
    <t xml:space="preserve">The multipliers entered into these rows (13-14) are from the Census Bureau's American Fact Finder, from 2015 Selected Housing Characteristics Data. </t>
  </si>
  <si>
    <t>05359</t>
  </si>
</sst>
</file>

<file path=xl/styles.xml><?xml version="1.0" encoding="utf-8"?>
<styleSheet xmlns="http://schemas.openxmlformats.org/spreadsheetml/2006/main">
  <numFmts count="4">
    <numFmt numFmtId="43" formatCode="_(* #,##0.00_);_(* \(#,##0.00\);_(* &quot;-&quot;??_);_(@_)"/>
    <numFmt numFmtId="164" formatCode="#,##0.0000"/>
    <numFmt numFmtId="165" formatCode="[$-10409]#,##0;\(#,##0\)"/>
    <numFmt numFmtId="166" formatCode="&quot;$&quot;#,##0"/>
  </numFmts>
  <fonts count="57">
    <font>
      <sz val="11"/>
      <color theme="1"/>
      <name val="Calibri"/>
      <family val="2"/>
      <scheme val="minor"/>
    </font>
    <font>
      <sz val="12"/>
      <color theme="1"/>
      <name val="Calibri"/>
      <family val="2"/>
      <charset val="128"/>
      <scheme val="minor"/>
    </font>
    <font>
      <sz val="12"/>
      <color theme="1"/>
      <name val="Calibri"/>
      <family val="2"/>
      <charset val="128"/>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sz val="11"/>
      <color rgb="FFFF0000"/>
      <name val="Calibri"/>
      <family val="2"/>
      <scheme val="minor"/>
    </font>
    <font>
      <sz val="9"/>
      <color theme="1"/>
      <name val="Calibri"/>
      <family val="2"/>
      <scheme val="minor"/>
    </font>
    <font>
      <b/>
      <sz val="14"/>
      <color theme="1"/>
      <name val="Calibri"/>
      <family val="2"/>
      <scheme val="minor"/>
    </font>
    <font>
      <b/>
      <sz val="12"/>
      <color theme="1"/>
      <name val="Calibri"/>
      <family val="2"/>
      <charset val="128"/>
      <scheme val="minor"/>
    </font>
    <font>
      <sz val="14"/>
      <color theme="1"/>
      <name val="Calibri"/>
      <family val="2"/>
      <scheme val="minor"/>
    </font>
    <font>
      <i/>
      <sz val="11"/>
      <color theme="1"/>
      <name val="Calibri"/>
      <family val="2"/>
      <scheme val="minor"/>
    </font>
    <font>
      <sz val="12"/>
      <color rgb="FF3F3F76"/>
      <name val="Calibri"/>
      <family val="2"/>
      <scheme val="minor"/>
    </font>
    <font>
      <i/>
      <sz val="12"/>
      <color theme="1"/>
      <name val="Calibri"/>
      <family val="2"/>
      <scheme val="minor"/>
    </font>
    <font>
      <b/>
      <i/>
      <sz val="12"/>
      <color theme="1"/>
      <name val="Calibri"/>
      <family val="2"/>
      <scheme val="minor"/>
    </font>
    <font>
      <u/>
      <sz val="11"/>
      <color theme="11"/>
      <name val="Calibri"/>
      <family val="2"/>
      <scheme val="minor"/>
    </font>
    <font>
      <sz val="12"/>
      <color rgb="FF000000"/>
      <name val="Calibri"/>
      <family val="2"/>
      <scheme val="minor"/>
    </font>
    <font>
      <b/>
      <sz val="11"/>
      <color rgb="FF000000"/>
      <name val="Arial"/>
      <family val="2"/>
    </font>
    <font>
      <i/>
      <sz val="11"/>
      <color rgb="FFFF0000"/>
      <name val="Calibri"/>
      <family val="2"/>
      <scheme val="minor"/>
    </font>
    <font>
      <sz val="11"/>
      <color theme="1"/>
      <name val="Calibri"/>
      <family val="2"/>
      <charset val="128"/>
      <scheme val="minor"/>
    </font>
    <font>
      <b/>
      <sz val="11"/>
      <color theme="1"/>
      <name val="Calibri"/>
      <family val="2"/>
      <charset val="128"/>
      <scheme val="minor"/>
    </font>
    <font>
      <sz val="12"/>
      <color rgb="FF000000"/>
      <name val="Calibri"/>
      <family val="2"/>
      <scheme val="minor"/>
    </font>
    <font>
      <sz val="10"/>
      <color rgb="FF000000"/>
      <name val="Calibri"/>
      <family val="2"/>
      <scheme val="minor"/>
    </font>
    <font>
      <i/>
      <sz val="10"/>
      <name val="Calibri Light"/>
      <family val="2"/>
      <scheme val="major"/>
    </font>
    <font>
      <sz val="10"/>
      <color rgb="FFFF0000"/>
      <name val="Calibri"/>
      <family val="2"/>
      <scheme val="minor"/>
    </font>
    <font>
      <sz val="12"/>
      <color rgb="FFFF0000"/>
      <name val="Calibri"/>
      <family val="2"/>
      <scheme val="minor"/>
    </font>
    <font>
      <sz val="10"/>
      <color rgb="FF000000"/>
      <name val="Arial"/>
      <family val="2"/>
    </font>
    <font>
      <i/>
      <sz val="11"/>
      <color rgb="FF7F7F7F"/>
      <name val="Calibri"/>
      <family val="2"/>
      <scheme val="minor"/>
    </font>
    <font>
      <b/>
      <sz val="12"/>
      <color theme="1"/>
      <name val="Calibri"/>
      <family val="2"/>
      <scheme val="minor"/>
    </font>
    <font>
      <i/>
      <sz val="12"/>
      <color rgb="FFFF0000"/>
      <name val="Calibri"/>
      <family val="2"/>
      <scheme val="minor"/>
    </font>
    <font>
      <i/>
      <sz val="12"/>
      <color rgb="FF7F7F7F"/>
      <name val="Calibri"/>
      <family val="2"/>
      <scheme val="minor"/>
    </font>
    <font>
      <sz val="16"/>
      <color theme="1"/>
      <name val="Calibri"/>
      <family val="2"/>
      <scheme val="minor"/>
    </font>
    <font>
      <b/>
      <u/>
      <sz val="16"/>
      <color theme="1"/>
      <name val="Calibri"/>
      <family val="2"/>
      <scheme val="minor"/>
    </font>
    <font>
      <b/>
      <u/>
      <sz val="12"/>
      <color theme="1"/>
      <name val="Calibri"/>
      <family val="2"/>
      <scheme val="minor"/>
    </font>
    <font>
      <sz val="10"/>
      <color theme="1"/>
      <name val="Calibri"/>
      <family val="2"/>
      <charset val="128"/>
      <scheme val="minor"/>
    </font>
    <font>
      <b/>
      <sz val="10"/>
      <color theme="1"/>
      <name val="Calibri"/>
      <family val="2"/>
      <scheme val="minor"/>
    </font>
    <font>
      <b/>
      <i/>
      <sz val="10"/>
      <name val="Calibri Light"/>
      <family val="2"/>
      <scheme val="major"/>
    </font>
    <font>
      <b/>
      <sz val="9"/>
      <color indexed="81"/>
      <name val="Tahoma"/>
      <family val="2"/>
    </font>
    <font>
      <i/>
      <sz val="14"/>
      <color rgb="FF7F7F7F"/>
      <name val="Calibri"/>
      <family val="2"/>
      <scheme val="minor"/>
    </font>
    <font>
      <sz val="11"/>
      <color theme="0"/>
      <name val="Calibri"/>
      <family val="2"/>
      <scheme val="minor"/>
    </font>
    <font>
      <sz val="12"/>
      <color theme="0"/>
      <name val="Calibri"/>
      <family val="2"/>
      <scheme val="minor"/>
    </font>
    <font>
      <sz val="11"/>
      <color rgb="FF000000"/>
      <name val="Calibri"/>
      <family val="2"/>
      <scheme val="minor"/>
    </font>
  </fonts>
  <fills count="18">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7" tint="0.79998168889431442"/>
        <bgColor indexed="65"/>
      </patternFill>
    </fill>
    <fill>
      <patternFill patternType="solid">
        <fgColor theme="9" tint="0.79998168889431442"/>
        <bgColor indexed="65"/>
      </patternFill>
    </fill>
    <fill>
      <patternFill patternType="solid">
        <fgColor theme="2"/>
        <bgColor indexed="64"/>
      </patternFill>
    </fill>
    <fill>
      <patternFill patternType="solid">
        <fgColor theme="4" tint="0.79998168889431442"/>
        <bgColor indexed="65"/>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5"/>
      </patternFill>
    </fill>
    <fill>
      <patternFill patternType="solid">
        <fgColor theme="2" tint="-9.9978637043366805E-2"/>
        <bgColor indexed="64"/>
      </patternFill>
    </fill>
    <fill>
      <patternFill patternType="solid">
        <fgColor theme="5"/>
      </patternFill>
    </fill>
    <fill>
      <patternFill patternType="solid">
        <fgColor theme="8" tint="0.79998168889431442"/>
        <bgColor indexed="65"/>
      </patternFill>
    </fill>
    <fill>
      <patternFill patternType="solid">
        <fgColor rgb="FFFFFF00"/>
        <bgColor indexed="64"/>
      </patternFill>
    </fill>
  </fills>
  <borders count="7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7F7F7F"/>
      </left>
      <right style="thin">
        <color rgb="FF7F7F7F"/>
      </right>
      <top style="thin">
        <color auto="1"/>
      </top>
      <bottom style="thin">
        <color rgb="FF7F7F7F"/>
      </bottom>
      <diagonal/>
    </border>
    <border>
      <left style="thin">
        <color rgb="FFB2B2B2"/>
      </left>
      <right style="thin">
        <color rgb="FFB2B2B2"/>
      </right>
      <top style="thin">
        <color auto="1"/>
      </top>
      <bottom style="thin">
        <color auto="1"/>
      </bottom>
      <diagonal/>
    </border>
    <border>
      <left style="thin">
        <color rgb="FF3F3F3F"/>
      </left>
      <right style="thin">
        <color auto="1"/>
      </right>
      <top style="thin">
        <color auto="1"/>
      </top>
      <bottom style="thin">
        <color auto="1"/>
      </bottom>
      <diagonal/>
    </border>
    <border>
      <left style="thin">
        <color rgb="FF3F3F3F"/>
      </left>
      <right/>
      <top/>
      <bottom/>
      <diagonal/>
    </border>
    <border>
      <left/>
      <right style="thin">
        <color rgb="FF7F7F7F"/>
      </right>
      <top/>
      <bottom/>
      <diagonal/>
    </border>
    <border>
      <left style="thin">
        <color rgb="FFD3D3D3"/>
      </left>
      <right style="thin">
        <color rgb="FFD3D3D3"/>
      </right>
      <top style="thin">
        <color rgb="FFD3D3D3"/>
      </top>
      <bottom style="thin">
        <color rgb="FFD3D3D3"/>
      </bottom>
      <diagonal/>
    </border>
    <border>
      <left style="thin">
        <color auto="1"/>
      </left>
      <right style="thin">
        <color rgb="FFD3D3D3"/>
      </right>
      <top style="thin">
        <color auto="1"/>
      </top>
      <bottom style="thin">
        <color rgb="FFD3D3D3"/>
      </bottom>
      <diagonal/>
    </border>
    <border>
      <left style="thin">
        <color rgb="FFD3D3D3"/>
      </left>
      <right style="thin">
        <color rgb="FFD3D3D3"/>
      </right>
      <top style="thin">
        <color auto="1"/>
      </top>
      <bottom style="thin">
        <color rgb="FFD3D3D3"/>
      </bottom>
      <diagonal/>
    </border>
    <border>
      <left style="thin">
        <color rgb="FFD3D3D3"/>
      </left>
      <right style="thin">
        <color auto="1"/>
      </right>
      <top style="thin">
        <color auto="1"/>
      </top>
      <bottom style="thin">
        <color rgb="FFD3D3D3"/>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rgb="FF7F7F7F"/>
      </right>
      <top style="thin">
        <color auto="1"/>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rgb="FFD3D3D3"/>
      </right>
      <top style="thin">
        <color rgb="FFD3D3D3"/>
      </top>
      <bottom style="thin">
        <color rgb="FFD3D3D3"/>
      </bottom>
      <diagonal/>
    </border>
    <border>
      <left style="thin">
        <color rgb="FFD3D3D3"/>
      </left>
      <right style="thin">
        <color indexed="64"/>
      </right>
      <top style="thin">
        <color rgb="FFD3D3D3"/>
      </top>
      <bottom style="thin">
        <color rgb="FFD3D3D3"/>
      </bottom>
      <diagonal/>
    </border>
    <border>
      <left/>
      <right style="thin">
        <color rgb="FFD3D3D3"/>
      </right>
      <top style="thin">
        <color auto="1"/>
      </top>
      <bottom style="thin">
        <color rgb="FFD3D3D3"/>
      </bottom>
      <diagonal/>
    </border>
    <border>
      <left style="thin">
        <color rgb="FF7F7F7F"/>
      </left>
      <right style="thin">
        <color rgb="FF7F7F7F"/>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style="thin">
        <color auto="1"/>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indexed="64"/>
      </right>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diagonal/>
    </border>
    <border>
      <left/>
      <right/>
      <top style="medium">
        <color indexed="64"/>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20">
    <xf numFmtId="0" fontId="0" fillId="0" borderId="0"/>
    <xf numFmtId="9" fontId="4" fillId="0" borderId="0" applyFont="0" applyFill="0" applyBorder="0" applyAlignment="0" applyProtection="0"/>
    <xf numFmtId="0" fontId="9" fillId="2" borderId="13" applyNumberFormat="0" applyAlignment="0" applyProtection="0"/>
    <xf numFmtId="0" fontId="10" fillId="3" borderId="14" applyNumberFormat="0" applyAlignment="0" applyProtection="0"/>
    <xf numFmtId="0" fontId="4" fillId="4" borderId="15" applyNumberFormat="0" applyFont="0" applyAlignment="0" applyProtection="0"/>
    <xf numFmtId="0" fontId="11" fillId="0" borderId="0" applyNumberFormat="0" applyFill="0" applyBorder="0" applyAlignment="0" applyProtection="0"/>
    <xf numFmtId="0" fontId="2" fillId="6" borderId="0" applyNumberFormat="0" applyBorder="0" applyAlignment="0" applyProtection="0"/>
    <xf numFmtId="0" fontId="2" fillId="7" borderId="0" applyNumberFormat="0" applyBorder="0" applyAlignment="0" applyProtection="0"/>
    <xf numFmtId="0" fontId="1" fillId="9"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 fillId="13" borderId="0" applyNumberFormat="0" applyBorder="0" applyAlignment="0" applyProtection="0"/>
    <xf numFmtId="0" fontId="42" fillId="0" borderId="0" applyNumberFormat="0" applyFill="0" applyBorder="0" applyAlignment="0" applyProtection="0"/>
    <xf numFmtId="0" fontId="54" fillId="15" borderId="0" applyNumberFormat="0" applyBorder="0" applyAlignment="0" applyProtection="0"/>
    <xf numFmtId="0" fontId="4" fillId="16" borderId="0" applyNumberFormat="0" applyBorder="0" applyAlignment="0" applyProtection="0"/>
    <xf numFmtId="0" fontId="56" fillId="0" borderId="0"/>
    <xf numFmtId="43" fontId="56" fillId="0" borderId="0" applyFont="0" applyFill="0" applyBorder="0" applyAlignment="0" applyProtection="0"/>
  </cellStyleXfs>
  <cellXfs count="580">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0" xfId="0" applyFont="1" applyBorder="1"/>
    <xf numFmtId="0" fontId="3" fillId="0" borderId="5" xfId="0" applyFont="1" applyBorder="1"/>
    <xf numFmtId="0" fontId="3"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0" fontId="5" fillId="0" borderId="0" xfId="0" applyFont="1"/>
    <xf numFmtId="0" fontId="0" fillId="0" borderId="0" xfId="0" applyAlignment="1">
      <alignment horizontal="left"/>
    </xf>
    <xf numFmtId="0" fontId="8" fillId="0" borderId="0" xfId="0" applyFont="1" applyAlignment="1">
      <alignment horizontal="left" wrapText="1"/>
    </xf>
    <xf numFmtId="0" fontId="11" fillId="0" borderId="0" xfId="5" applyAlignment="1">
      <alignment vertical="center"/>
    </xf>
    <xf numFmtId="0" fontId="0" fillId="0" borderId="0" xfId="0" applyAlignment="1">
      <alignment vertical="top"/>
    </xf>
    <xf numFmtId="3" fontId="0" fillId="0" borderId="0" xfId="0" applyNumberFormat="1" applyAlignment="1">
      <alignment horizontal="left"/>
    </xf>
    <xf numFmtId="9" fontId="0" fillId="0" borderId="0" xfId="1" applyFont="1" applyAlignment="1">
      <alignment horizontal="center" vertical="center" wrapText="1"/>
    </xf>
    <xf numFmtId="9" fontId="0" fillId="0" borderId="0" xfId="1" applyFont="1" applyAlignment="1">
      <alignment horizontal="center" vertical="center"/>
    </xf>
    <xf numFmtId="2" fontId="0" fillId="0" borderId="0" xfId="1" applyNumberFormat="1" applyFont="1" applyAlignment="1">
      <alignment horizontal="center" vertical="center"/>
    </xf>
    <xf numFmtId="3" fontId="9" fillId="2" borderId="13" xfId="2" applyNumberFormat="1" applyAlignment="1">
      <alignment horizontal="center" vertical="center"/>
    </xf>
    <xf numFmtId="0" fontId="13" fillId="0" borderId="9" xfId="0" applyFont="1" applyBorder="1" applyAlignment="1">
      <alignment horizontal="left" vertical="center"/>
    </xf>
    <xf numFmtId="3" fontId="13" fillId="0" borderId="2" xfId="0" applyNumberFormat="1" applyFont="1" applyBorder="1" applyAlignment="1">
      <alignment horizontal="center" vertical="center"/>
    </xf>
    <xf numFmtId="3" fontId="14" fillId="2" borderId="17" xfId="2" applyNumberFormat="1" applyFont="1" applyBorder="1" applyAlignment="1">
      <alignment horizontal="center" vertical="center"/>
    </xf>
    <xf numFmtId="9" fontId="13" fillId="0" borderId="3" xfId="1" applyFont="1" applyBorder="1" applyAlignment="1">
      <alignment horizontal="center" vertical="center"/>
    </xf>
    <xf numFmtId="3" fontId="13" fillId="0" borderId="0" xfId="0" applyNumberFormat="1" applyFont="1" applyBorder="1" applyAlignment="1">
      <alignment horizontal="center" vertical="center"/>
    </xf>
    <xf numFmtId="9" fontId="13" fillId="0" borderId="5" xfId="1" applyFont="1" applyBorder="1" applyAlignment="1">
      <alignment horizontal="center" vertical="center"/>
    </xf>
    <xf numFmtId="0" fontId="7" fillId="0" borderId="9" xfId="0" applyFont="1" applyBorder="1"/>
    <xf numFmtId="0" fontId="13" fillId="0" borderId="10" xfId="0" applyFont="1" applyBorder="1" applyAlignment="1">
      <alignment horizontal="center" vertical="center"/>
    </xf>
    <xf numFmtId="3" fontId="13" fillId="4" borderId="18" xfId="4" applyNumberFormat="1" applyFont="1" applyBorder="1" applyAlignment="1">
      <alignment horizontal="center" vertical="center"/>
    </xf>
    <xf numFmtId="0" fontId="7" fillId="0" borderId="1" xfId="0" applyFont="1" applyBorder="1" applyAlignment="1">
      <alignment vertical="top" wrapText="1"/>
    </xf>
    <xf numFmtId="0" fontId="7" fillId="0" borderId="4" xfId="0" applyFont="1" applyBorder="1" applyAlignment="1">
      <alignment vertical="top" wrapText="1"/>
    </xf>
    <xf numFmtId="0" fontId="6" fillId="0" borderId="4" xfId="0" applyFont="1" applyBorder="1" applyAlignment="1">
      <alignment vertical="top"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6" fillId="0" borderId="0" xfId="0" applyFont="1"/>
    <xf numFmtId="0" fontId="17" fillId="0" borderId="0" xfId="0" applyFont="1"/>
    <xf numFmtId="0" fontId="0" fillId="0" borderId="0" xfId="0"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0" fontId="0" fillId="5" borderId="0" xfId="0" applyFill="1"/>
    <xf numFmtId="0" fontId="0" fillId="5" borderId="4" xfId="0" applyFill="1" applyBorder="1"/>
    <xf numFmtId="0" fontId="0" fillId="5" borderId="0" xfId="0" applyFill="1" applyBorder="1"/>
    <xf numFmtId="0" fontId="0" fillId="5" borderId="5" xfId="0" applyFill="1" applyBorder="1"/>
    <xf numFmtId="0" fontId="20" fillId="0" borderId="0" xfId="0" applyFont="1"/>
    <xf numFmtId="3" fontId="0" fillId="0" borderId="0" xfId="0" applyNumberFormat="1" applyAlignment="1">
      <alignment horizontal="left" wrapText="1"/>
    </xf>
    <xf numFmtId="0" fontId="0" fillId="0" borderId="0" xfId="0" applyAlignment="1">
      <alignment horizontal="left" wrapText="1"/>
    </xf>
    <xf numFmtId="9" fontId="0" fillId="0" borderId="0" xfId="1" applyFont="1" applyAlignment="1">
      <alignment horizontal="right" vertical="center" wrapText="1"/>
    </xf>
    <xf numFmtId="0" fontId="11" fillId="0" borderId="0" xfId="5" applyFill="1" applyAlignment="1">
      <alignment vertical="center"/>
    </xf>
    <xf numFmtId="0" fontId="0" fillId="0" borderId="0" xfId="0" applyAlignment="1">
      <alignment horizontal="right" vertical="center"/>
    </xf>
    <xf numFmtId="3" fontId="14" fillId="2" borderId="13" xfId="2" applyNumberFormat="1" applyFont="1" applyBorder="1" applyAlignment="1">
      <alignment horizontal="center" vertical="center"/>
    </xf>
    <xf numFmtId="3" fontId="13" fillId="0" borderId="10" xfId="0" applyNumberFormat="1" applyFont="1" applyBorder="1" applyAlignment="1">
      <alignment horizontal="center" vertical="center"/>
    </xf>
    <xf numFmtId="10" fontId="0" fillId="0" borderId="0" xfId="0" applyNumberFormat="1"/>
    <xf numFmtId="0" fontId="22" fillId="0" borderId="0" xfId="0" applyFont="1"/>
    <xf numFmtId="3" fontId="22" fillId="0" borderId="0" xfId="0" applyNumberFormat="1" applyFont="1"/>
    <xf numFmtId="0" fontId="0" fillId="0" borderId="0" xfId="0" applyBorder="1" applyAlignment="1">
      <alignment horizontal="left" vertical="center"/>
    </xf>
    <xf numFmtId="3" fontId="0" fillId="0" borderId="0" xfId="0" applyNumberFormat="1" applyAlignment="1">
      <alignment horizontal="left" vertical="center"/>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wrapText="1"/>
    </xf>
    <xf numFmtId="0" fontId="2" fillId="7" borderId="12" xfId="7" applyBorder="1"/>
    <xf numFmtId="0" fontId="2" fillId="6" borderId="12" xfId="6" applyBorder="1"/>
    <xf numFmtId="0" fontId="2" fillId="0" borderId="0" xfId="0" applyFont="1"/>
    <xf numFmtId="0" fontId="2" fillId="5" borderId="0" xfId="0" applyFont="1" applyFill="1" applyBorder="1" applyAlignment="1">
      <alignment horizontal="left" vertical="center" wrapText="1"/>
    </xf>
    <xf numFmtId="3" fontId="2" fillId="6" borderId="13" xfId="6" applyNumberFormat="1" applyBorder="1" applyAlignment="1">
      <alignment horizontal="center" vertical="center"/>
    </xf>
    <xf numFmtId="0" fontId="9" fillId="2" borderId="13" xfId="2" applyBorder="1"/>
    <xf numFmtId="0" fontId="2" fillId="5" borderId="0" xfId="0" applyFont="1" applyFill="1" applyBorder="1"/>
    <xf numFmtId="0" fontId="0" fillId="5" borderId="6" xfId="0" applyFill="1" applyBorder="1"/>
    <xf numFmtId="0" fontId="0" fillId="5" borderId="7" xfId="0" applyFill="1" applyBorder="1"/>
    <xf numFmtId="0" fontId="0" fillId="5" borderId="8" xfId="0" applyFill="1" applyBorder="1"/>
    <xf numFmtId="0" fontId="32" fillId="0" borderId="23" xfId="0" applyNumberFormat="1" applyFont="1" applyFill="1" applyBorder="1" applyAlignment="1">
      <alignment horizontal="left" readingOrder="1"/>
    </xf>
    <xf numFmtId="0" fontId="32" fillId="0" borderId="24" xfId="0" applyNumberFormat="1" applyFont="1" applyFill="1" applyBorder="1" applyAlignment="1">
      <alignment horizontal="left" readingOrder="1"/>
    </xf>
    <xf numFmtId="0" fontId="32" fillId="0" borderId="24" xfId="0" applyNumberFormat="1" applyFont="1" applyFill="1" applyBorder="1" applyAlignment="1">
      <alignment horizontal="left" wrapText="1" readingOrder="1"/>
    </xf>
    <xf numFmtId="0" fontId="32" fillId="0" borderId="25" xfId="0" applyNumberFormat="1" applyFont="1" applyFill="1" applyBorder="1" applyAlignment="1">
      <alignment horizontal="left" readingOrder="1"/>
    </xf>
    <xf numFmtId="0" fontId="0" fillId="0" borderId="4" xfId="0" applyFont="1" applyBorder="1" applyAlignment="1">
      <alignment horizontal="left" vertical="center"/>
    </xf>
    <xf numFmtId="0" fontId="0" fillId="0" borderId="0" xfId="0" applyFont="1" applyBorder="1"/>
    <xf numFmtId="0" fontId="0" fillId="0" borderId="6" xfId="0" applyFont="1" applyBorder="1" applyAlignment="1">
      <alignment horizontal="left" vertical="center"/>
    </xf>
    <xf numFmtId="0" fontId="0" fillId="0" borderId="7" xfId="0" applyFont="1" applyBorder="1"/>
    <xf numFmtId="0" fontId="0" fillId="0" borderId="2" xfId="0" applyFont="1" applyBorder="1"/>
    <xf numFmtId="0" fontId="0" fillId="8" borderId="4" xfId="0" applyFont="1" applyFill="1" applyBorder="1"/>
    <xf numFmtId="0" fontId="0" fillId="8" borderId="0" xfId="0" applyFont="1" applyFill="1" applyBorder="1"/>
    <xf numFmtId="3" fontId="0" fillId="8" borderId="0" xfId="0" applyNumberFormat="1" applyFont="1" applyFill="1" applyBorder="1"/>
    <xf numFmtId="3" fontId="0" fillId="8" borderId="5" xfId="0" applyNumberFormat="1" applyFont="1" applyFill="1" applyBorder="1"/>
    <xf numFmtId="0" fontId="0" fillId="0" borderId="6" xfId="0" applyFont="1" applyBorder="1"/>
    <xf numFmtId="0" fontId="0" fillId="8" borderId="5" xfId="0" applyFont="1" applyFill="1" applyBorder="1"/>
    <xf numFmtId="0" fontId="27" fillId="2" borderId="28" xfId="2" applyFont="1" applyBorder="1"/>
    <xf numFmtId="0" fontId="2" fillId="0" borderId="4" xfId="0" applyFont="1" applyBorder="1"/>
    <xf numFmtId="0" fontId="2" fillId="6" borderId="4" xfId="6" applyFont="1" applyBorder="1"/>
    <xf numFmtId="0" fontId="2" fillId="0" borderId="0" xfId="0" applyFont="1" applyBorder="1"/>
    <xf numFmtId="0" fontId="2" fillId="6" borderId="6" xfId="6" applyFont="1" applyBorder="1"/>
    <xf numFmtId="0" fontId="2" fillId="0" borderId="7" xfId="0" applyFont="1" applyBorder="1"/>
    <xf numFmtId="3" fontId="0" fillId="0" borderId="4" xfId="0" applyNumberFormat="1" applyBorder="1"/>
    <xf numFmtId="3" fontId="0" fillId="0" borderId="6" xfId="0" applyNumberFormat="1" applyBorder="1"/>
    <xf numFmtId="3" fontId="15" fillId="12" borderId="19" xfId="3" applyNumberFormat="1" applyFont="1" applyFill="1" applyBorder="1" applyAlignment="1">
      <alignment horizontal="center" vertical="center"/>
    </xf>
    <xf numFmtId="0" fontId="0" fillId="0" borderId="2" xfId="0" applyBorder="1"/>
    <xf numFmtId="0" fontId="0" fillId="0" borderId="3" xfId="0" applyBorder="1"/>
    <xf numFmtId="0" fontId="0" fillId="0" borderId="0" xfId="0" applyFill="1" applyBorder="1"/>
    <xf numFmtId="0" fontId="0" fillId="0" borderId="5" xfId="0" applyFill="1" applyBorder="1"/>
    <xf numFmtId="0" fontId="41" fillId="0" borderId="22" xfId="0" applyNumberFormat="1" applyFont="1" applyFill="1" applyBorder="1" applyAlignment="1">
      <alignment vertical="top" readingOrder="1"/>
    </xf>
    <xf numFmtId="0" fontId="41" fillId="8" borderId="22" xfId="0" applyNumberFormat="1" applyFont="1" applyFill="1" applyBorder="1" applyAlignment="1">
      <alignment vertical="top" readingOrder="1"/>
    </xf>
    <xf numFmtId="0" fontId="32" fillId="0" borderId="34" xfId="0" applyNumberFormat="1" applyFont="1" applyFill="1" applyBorder="1" applyAlignment="1">
      <alignment horizontal="left" readingOrder="1"/>
    </xf>
    <xf numFmtId="0" fontId="41" fillId="8" borderId="33" xfId="0" applyNumberFormat="1" applyFont="1" applyFill="1" applyBorder="1" applyAlignment="1">
      <alignment vertical="top" readingOrder="1"/>
    </xf>
    <xf numFmtId="0" fontId="41" fillId="0" borderId="33" xfId="0" applyNumberFormat="1" applyFont="1" applyFill="1" applyBorder="1" applyAlignment="1">
      <alignment vertical="top" readingOrder="1"/>
    </xf>
    <xf numFmtId="0" fontId="0" fillId="0" borderId="4" xfId="0" applyFill="1" applyBorder="1"/>
    <xf numFmtId="0" fontId="0" fillId="0" borderId="0" xfId="0" applyFill="1"/>
    <xf numFmtId="0" fontId="3" fillId="0" borderId="0" xfId="0" applyFont="1"/>
    <xf numFmtId="0" fontId="0" fillId="0" borderId="0" xfId="0" applyAlignment="1">
      <alignment wrapText="1"/>
    </xf>
    <xf numFmtId="166" fontId="1" fillId="7" borderId="0" xfId="7" applyNumberFormat="1" applyFont="1"/>
    <xf numFmtId="3" fontId="4" fillId="13" borderId="0" xfId="14" applyNumberFormat="1"/>
    <xf numFmtId="3" fontId="3" fillId="7" borderId="12" xfId="7" applyNumberFormat="1" applyFont="1" applyBorder="1" applyAlignment="1">
      <alignment horizontal="center" vertical="center"/>
    </xf>
    <xf numFmtId="0" fontId="9" fillId="2" borderId="13" xfId="2" applyAlignment="1">
      <alignment horizontal="center" vertical="center"/>
    </xf>
    <xf numFmtId="2" fontId="9" fillId="2" borderId="13" xfId="2" applyNumberFormat="1" applyAlignment="1">
      <alignment horizontal="center" vertical="center"/>
    </xf>
    <xf numFmtId="0" fontId="9" fillId="2" borderId="35" xfId="2" applyBorder="1"/>
    <xf numFmtId="0" fontId="0" fillId="0" borderId="30" xfId="0" applyBorder="1"/>
    <xf numFmtId="0" fontId="0" fillId="0" borderId="31" xfId="0" applyBorder="1"/>
    <xf numFmtId="0" fontId="3" fillId="0" borderId="36" xfId="0" applyFont="1" applyBorder="1"/>
    <xf numFmtId="0" fontId="0" fillId="0" borderId="38" xfId="0" applyBorder="1"/>
    <xf numFmtId="0" fontId="0" fillId="0" borderId="41" xfId="0" applyBorder="1"/>
    <xf numFmtId="0" fontId="0" fillId="0" borderId="42" xfId="0" applyBorder="1"/>
    <xf numFmtId="0" fontId="0" fillId="0" borderId="43" xfId="0" applyBorder="1"/>
    <xf numFmtId="0" fontId="9" fillId="2" borderId="12" xfId="2" applyBorder="1"/>
    <xf numFmtId="0" fontId="1" fillId="6" borderId="12" xfId="6" applyFont="1" applyBorder="1"/>
    <xf numFmtId="0" fontId="1" fillId="7" borderId="44" xfId="7" applyFont="1" applyBorder="1"/>
    <xf numFmtId="0" fontId="9" fillId="2" borderId="45" xfId="2" applyBorder="1"/>
    <xf numFmtId="0" fontId="1" fillId="6" borderId="45" xfId="6" applyFont="1" applyBorder="1"/>
    <xf numFmtId="0" fontId="1" fillId="7" borderId="46" xfId="7" applyFont="1" applyBorder="1"/>
    <xf numFmtId="0" fontId="3" fillId="0" borderId="27" xfId="0" applyFont="1" applyBorder="1" applyAlignment="1">
      <alignment horizontal="center" vertical="center" wrapText="1"/>
    </xf>
    <xf numFmtId="0" fontId="3" fillId="0" borderId="47" xfId="0" applyFont="1" applyBorder="1" applyAlignment="1">
      <alignment horizontal="center" vertical="center" wrapText="1"/>
    </xf>
    <xf numFmtId="0" fontId="0" fillId="0" borderId="49" xfId="0" applyBorder="1"/>
    <xf numFmtId="0" fontId="0" fillId="0" borderId="50" xfId="0" applyBorder="1"/>
    <xf numFmtId="0" fontId="43" fillId="0" borderId="50" xfId="0" applyFont="1" applyBorder="1"/>
    <xf numFmtId="0" fontId="43" fillId="0" borderId="51" xfId="0" applyFont="1" applyBorder="1"/>
    <xf numFmtId="0" fontId="43" fillId="0" borderId="0" xfId="0" applyFont="1" applyBorder="1"/>
    <xf numFmtId="0" fontId="43" fillId="0" borderId="49" xfId="0" applyFont="1" applyBorder="1"/>
    <xf numFmtId="0" fontId="0" fillId="0" borderId="39" xfId="0" applyBorder="1"/>
    <xf numFmtId="0" fontId="0" fillId="0" borderId="40" xfId="0" applyBorder="1"/>
    <xf numFmtId="0" fontId="43" fillId="0" borderId="48" xfId="0" applyFont="1" applyBorder="1"/>
    <xf numFmtId="0" fontId="43" fillId="0" borderId="36" xfId="0" applyFont="1" applyBorder="1"/>
    <xf numFmtId="0" fontId="0" fillId="0" borderId="37" xfId="0" applyBorder="1"/>
    <xf numFmtId="0" fontId="0" fillId="0" borderId="42" xfId="0" applyBorder="1" applyAlignment="1">
      <alignment horizontal="center" wrapText="1"/>
    </xf>
    <xf numFmtId="0" fontId="0" fillId="0" borderId="43" xfId="0" applyBorder="1" applyAlignment="1">
      <alignment horizontal="center" wrapText="1"/>
    </xf>
    <xf numFmtId="0" fontId="0" fillId="0" borderId="48" xfId="0" applyBorder="1" applyAlignment="1">
      <alignment horizontal="center" wrapText="1"/>
    </xf>
    <xf numFmtId="0" fontId="0" fillId="0" borderId="0" xfId="0"/>
    <xf numFmtId="3" fontId="0" fillId="0" borderId="39" xfId="0" applyNumberFormat="1" applyBorder="1"/>
    <xf numFmtId="0" fontId="0" fillId="0" borderId="48" xfId="0" applyBorder="1"/>
    <xf numFmtId="0" fontId="0" fillId="0" borderId="36" xfId="0" applyBorder="1"/>
    <xf numFmtId="166" fontId="1" fillId="7" borderId="49" xfId="7" applyNumberFormat="1" applyFont="1" applyBorder="1"/>
    <xf numFmtId="166" fontId="1" fillId="7" borderId="50" xfId="7" applyNumberFormat="1" applyFont="1" applyBorder="1"/>
    <xf numFmtId="166" fontId="1" fillId="7" borderId="51" xfId="7" applyNumberFormat="1" applyFont="1" applyBorder="1"/>
    <xf numFmtId="0" fontId="43" fillId="0" borderId="0" xfId="0" applyFont="1"/>
    <xf numFmtId="0" fontId="0" fillId="0" borderId="0" xfId="0" applyAlignment="1">
      <alignment horizontal="center" wrapText="1"/>
    </xf>
    <xf numFmtId="9" fontId="1" fillId="7" borderId="48" xfId="7" applyNumberFormat="1" applyFont="1" applyBorder="1"/>
    <xf numFmtId="9" fontId="1" fillId="7" borderId="42" xfId="7" applyNumberFormat="1" applyFont="1" applyBorder="1"/>
    <xf numFmtId="9" fontId="1" fillId="7" borderId="43" xfId="7" applyNumberFormat="1" applyFont="1" applyBorder="1"/>
    <xf numFmtId="9" fontId="1" fillId="7" borderId="38" xfId="7" applyNumberFormat="1" applyFont="1" applyBorder="1"/>
    <xf numFmtId="9" fontId="1" fillId="7" borderId="39" xfId="7" applyNumberFormat="1" applyFont="1" applyBorder="1"/>
    <xf numFmtId="9" fontId="1" fillId="7" borderId="40" xfId="7" applyNumberFormat="1" applyFont="1" applyBorder="1"/>
    <xf numFmtId="0" fontId="18" fillId="0" borderId="0" xfId="0" applyFont="1" applyBorder="1" applyAlignment="1">
      <alignment vertical="center" wrapText="1"/>
    </xf>
    <xf numFmtId="3" fontId="9" fillId="2" borderId="52" xfId="2" applyNumberFormat="1" applyBorder="1"/>
    <xf numFmtId="3" fontId="9" fillId="2" borderId="13" xfId="2" applyNumberFormat="1" applyBorder="1"/>
    <xf numFmtId="3" fontId="9" fillId="2" borderId="53" xfId="2" applyNumberFormat="1" applyBorder="1"/>
    <xf numFmtId="0" fontId="0" fillId="0" borderId="0" xfId="0"/>
    <xf numFmtId="0" fontId="0" fillId="0" borderId="0" xfId="0" applyBorder="1"/>
    <xf numFmtId="0" fontId="0" fillId="0" borderId="5" xfId="0" applyBorder="1"/>
    <xf numFmtId="0" fontId="0" fillId="0" borderId="7" xfId="0" applyBorder="1"/>
    <xf numFmtId="0" fontId="0" fillId="0" borderId="8" xfId="0" applyBorder="1"/>
    <xf numFmtId="0" fontId="0" fillId="0" borderId="0" xfId="0" applyBorder="1"/>
    <xf numFmtId="166" fontId="1" fillId="7" borderId="36" xfId="7" applyNumberFormat="1" applyFont="1" applyBorder="1" applyAlignment="1">
      <alignment horizontal="left"/>
    </xf>
    <xf numFmtId="0" fontId="25" fillId="5" borderId="4" xfId="0" applyFont="1" applyFill="1" applyBorder="1"/>
    <xf numFmtId="0" fontId="17" fillId="0" borderId="30" xfId="0" applyFont="1" applyBorder="1" applyAlignment="1">
      <alignment vertical="center"/>
    </xf>
    <xf numFmtId="0" fontId="0" fillId="0" borderId="29" xfId="0" applyBorder="1" applyAlignment="1">
      <alignment horizontal="center" vertical="center"/>
    </xf>
    <xf numFmtId="0" fontId="5" fillId="0" borderId="2" xfId="0" applyFont="1" applyBorder="1"/>
    <xf numFmtId="0" fontId="48" fillId="0" borderId="30" xfId="0" applyFont="1" applyBorder="1" applyAlignment="1">
      <alignment vertical="center"/>
    </xf>
    <xf numFmtId="0" fontId="49" fillId="0" borderId="1" xfId="0" applyFont="1" applyBorder="1"/>
    <xf numFmtId="3" fontId="49" fillId="7" borderId="3" xfId="7" applyNumberFormat="1" applyFont="1" applyBorder="1"/>
    <xf numFmtId="0" fontId="49" fillId="0" borderId="4" xfId="0" applyFont="1" applyBorder="1"/>
    <xf numFmtId="3" fontId="49" fillId="7" borderId="5" xfId="7" applyNumberFormat="1" applyFont="1" applyBorder="1"/>
    <xf numFmtId="0" fontId="49" fillId="0" borderId="6" xfId="0" applyFont="1" applyBorder="1"/>
    <xf numFmtId="164" fontId="49" fillId="7" borderId="8" xfId="7" applyNumberFormat="1" applyFont="1" applyBorder="1"/>
    <xf numFmtId="0" fontId="49" fillId="0" borderId="0" xfId="0" applyFont="1"/>
    <xf numFmtId="3" fontId="49" fillId="0" borderId="0" xfId="0" applyNumberFormat="1" applyFont="1"/>
    <xf numFmtId="10" fontId="0" fillId="0" borderId="5" xfId="0" applyNumberFormat="1" applyBorder="1" applyAlignment="1">
      <alignment horizontal="center"/>
    </xf>
    <xf numFmtId="0" fontId="0" fillId="0" borderId="0" xfId="0" applyBorder="1" applyAlignment="1">
      <alignment horizontal="center"/>
    </xf>
    <xf numFmtId="10" fontId="0" fillId="0" borderId="5" xfId="0" applyNumberFormat="1" applyFill="1" applyBorder="1" applyAlignment="1">
      <alignment horizontal="center"/>
    </xf>
    <xf numFmtId="3" fontId="3" fillId="0" borderId="0" xfId="0" applyNumberFormat="1" applyFont="1" applyAlignment="1">
      <alignment horizontal="left"/>
    </xf>
    <xf numFmtId="3" fontId="43" fillId="7" borderId="14" xfId="7" applyNumberFormat="1" applyFont="1" applyBorder="1" applyAlignment="1">
      <alignment horizontal="center" vertical="center"/>
    </xf>
    <xf numFmtId="3" fontId="3" fillId="0" borderId="0" xfId="0" applyNumberFormat="1" applyFont="1" applyAlignment="1">
      <alignment horizontal="center" vertical="center"/>
    </xf>
    <xf numFmtId="0" fontId="3" fillId="0" borderId="0" xfId="0" applyFont="1" applyAlignment="1">
      <alignment horizontal="center" vertical="center"/>
    </xf>
    <xf numFmtId="3" fontId="10" fillId="12" borderId="14" xfId="3" applyNumberFormat="1" applyFont="1" applyFill="1" applyAlignment="1">
      <alignment horizontal="center" vertical="center"/>
    </xf>
    <xf numFmtId="0" fontId="3" fillId="0" borderId="0" xfId="0" applyFont="1" applyAlignment="1">
      <alignment vertical="center"/>
    </xf>
    <xf numFmtId="0" fontId="0" fillId="0" borderId="0" xfId="0" applyFill="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0" fillId="0" borderId="38" xfId="0" applyFill="1" applyBorder="1" applyAlignment="1">
      <alignment horizontal="center"/>
    </xf>
    <xf numFmtId="0" fontId="0" fillId="0" borderId="40" xfId="0" applyFill="1" applyBorder="1" applyAlignment="1">
      <alignment horizontal="center"/>
    </xf>
    <xf numFmtId="9" fontId="0" fillId="0" borderId="36" xfId="0" applyNumberFormat="1" applyBorder="1" applyAlignment="1">
      <alignment horizontal="center"/>
    </xf>
    <xf numFmtId="9" fontId="0" fillId="0" borderId="37" xfId="0" applyNumberFormat="1" applyBorder="1" applyAlignment="1">
      <alignment horizontal="center"/>
    </xf>
    <xf numFmtId="9" fontId="0" fillId="0" borderId="36" xfId="0" applyNumberFormat="1" applyFill="1" applyBorder="1" applyAlignment="1">
      <alignment horizontal="center"/>
    </xf>
    <xf numFmtId="9" fontId="0" fillId="0" borderId="37" xfId="0" applyNumberFormat="1" applyFill="1" applyBorder="1" applyAlignment="1">
      <alignment horizontal="center"/>
    </xf>
    <xf numFmtId="9" fontId="0" fillId="0" borderId="38" xfId="0" applyNumberFormat="1" applyFill="1" applyBorder="1" applyAlignment="1">
      <alignment horizontal="center"/>
    </xf>
    <xf numFmtId="9" fontId="0" fillId="0" borderId="40" xfId="0" applyNumberFormat="1" applyBorder="1" applyAlignment="1">
      <alignment horizontal="center"/>
    </xf>
    <xf numFmtId="0" fontId="3" fillId="10" borderId="54" xfId="0" applyFont="1" applyFill="1" applyBorder="1" applyAlignment="1">
      <alignment horizontal="center" wrapText="1"/>
    </xf>
    <xf numFmtId="0" fontId="3" fillId="11" borderId="55" xfId="0" applyFont="1" applyFill="1" applyBorder="1" applyAlignment="1">
      <alignment horizontal="center" wrapText="1"/>
    </xf>
    <xf numFmtId="0" fontId="0" fillId="0" borderId="0" xfId="0" applyFont="1"/>
    <xf numFmtId="0" fontId="0" fillId="0" borderId="59" xfId="0" applyBorder="1" applyAlignment="1">
      <alignment horizontal="center"/>
    </xf>
    <xf numFmtId="0" fontId="0" fillId="0" borderId="60" xfId="0" applyBorder="1" applyAlignment="1">
      <alignment horizontal="center"/>
    </xf>
    <xf numFmtId="0" fontId="0" fillId="0" borderId="60" xfId="0" applyFill="1" applyBorder="1" applyAlignment="1">
      <alignment horizontal="center"/>
    </xf>
    <xf numFmtId="0" fontId="0" fillId="0" borderId="59" xfId="0" applyFill="1" applyBorder="1" applyAlignment="1">
      <alignment horizontal="center"/>
    </xf>
    <xf numFmtId="0" fontId="0" fillId="0" borderId="61" xfId="0" applyFill="1" applyBorder="1" applyAlignment="1">
      <alignment horizontal="center"/>
    </xf>
    <xf numFmtId="10" fontId="0" fillId="0" borderId="62" xfId="0" applyNumberFormat="1" applyFill="1" applyBorder="1" applyAlignment="1">
      <alignment horizontal="center"/>
    </xf>
    <xf numFmtId="0" fontId="0" fillId="0" borderId="63" xfId="0" applyFill="1" applyBorder="1" applyAlignment="1">
      <alignment horizontal="center"/>
    </xf>
    <xf numFmtId="0" fontId="0" fillId="0" borderId="50" xfId="0" applyFill="1" applyBorder="1"/>
    <xf numFmtId="0" fontId="1" fillId="0" borderId="50" xfId="8" applyFill="1" applyBorder="1"/>
    <xf numFmtId="0" fontId="1" fillId="0" borderId="51" xfId="8" applyFill="1" applyBorder="1"/>
    <xf numFmtId="0" fontId="0" fillId="0" borderId="29" xfId="0" applyBorder="1" applyAlignment="1">
      <alignment wrapText="1"/>
    </xf>
    <xf numFmtId="0" fontId="3" fillId="10" borderId="55" xfId="0" applyFont="1" applyFill="1" applyBorder="1" applyAlignment="1">
      <alignment horizontal="center" wrapText="1"/>
    </xf>
    <xf numFmtId="0" fontId="3" fillId="14" borderId="54" xfId="0" applyFont="1" applyFill="1" applyBorder="1" applyAlignment="1">
      <alignment horizontal="center" wrapText="1"/>
    </xf>
    <xf numFmtId="0" fontId="3" fillId="14" borderId="56" xfId="0" applyFont="1" applyFill="1" applyBorder="1" applyAlignment="1">
      <alignment horizontal="center" wrapText="1"/>
    </xf>
    <xf numFmtId="0" fontId="3" fillId="14" borderId="57" xfId="0" applyFont="1" applyFill="1" applyBorder="1" applyAlignment="1">
      <alignment horizontal="center" wrapText="1"/>
    </xf>
    <xf numFmtId="0" fontId="3" fillId="14" borderId="64" xfId="0" applyFont="1" applyFill="1" applyBorder="1" applyAlignment="1">
      <alignment horizontal="center" wrapText="1"/>
    </xf>
    <xf numFmtId="0" fontId="0" fillId="0" borderId="39" xfId="0" applyFill="1" applyBorder="1" applyAlignment="1">
      <alignment horizontal="center"/>
    </xf>
    <xf numFmtId="0" fontId="3" fillId="5" borderId="66" xfId="0" applyFont="1" applyFill="1" applyBorder="1" applyAlignment="1">
      <alignment horizontal="center" wrapText="1"/>
    </xf>
    <xf numFmtId="165" fontId="43" fillId="7" borderId="1" xfId="7" applyNumberFormat="1" applyFont="1" applyBorder="1"/>
    <xf numFmtId="9" fontId="43" fillId="7" borderId="4" xfId="7" applyNumberFormat="1" applyFont="1" applyBorder="1"/>
    <xf numFmtId="9" fontId="43" fillId="7" borderId="6" xfId="7" applyNumberFormat="1" applyFont="1" applyBorder="1"/>
    <xf numFmtId="3" fontId="43" fillId="7" borderId="1" xfId="7" applyNumberFormat="1" applyFont="1" applyBorder="1" applyAlignment="1">
      <alignment horizontal="right" vertical="center"/>
    </xf>
    <xf numFmtId="3" fontId="43" fillId="7" borderId="6" xfId="7" applyNumberFormat="1" applyFont="1" applyBorder="1" applyAlignment="1">
      <alignment horizontal="right" vertical="center"/>
    </xf>
    <xf numFmtId="3" fontId="43" fillId="7" borderId="1" xfId="7" applyNumberFormat="1" applyFont="1" applyBorder="1" applyAlignment="1">
      <alignment horizontal="right"/>
    </xf>
    <xf numFmtId="3" fontId="43" fillId="7" borderId="4" xfId="7" applyNumberFormat="1" applyFont="1" applyBorder="1" applyAlignment="1">
      <alignment horizontal="right" vertical="center"/>
    </xf>
    <xf numFmtId="3" fontId="43" fillId="7" borderId="29" xfId="7" applyNumberFormat="1" applyFont="1" applyBorder="1"/>
    <xf numFmtId="0" fontId="18" fillId="0" borderId="0" xfId="0" applyFont="1"/>
    <xf numFmtId="0" fontId="31" fillId="0" borderId="12" xfId="0" applyFont="1" applyFill="1" applyBorder="1" applyAlignment="1">
      <alignment horizontal="center" wrapText="1"/>
    </xf>
    <xf numFmtId="0" fontId="37" fillId="0" borderId="10" xfId="0" applyFont="1" applyFill="1" applyBorder="1" applyAlignment="1">
      <alignment horizontal="center" wrapText="1"/>
    </xf>
    <xf numFmtId="0" fontId="36" fillId="0" borderId="10" xfId="0" applyFont="1" applyFill="1" applyBorder="1" applyAlignment="1">
      <alignment horizontal="center" wrapText="1"/>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1" fillId="0" borderId="26" xfId="0" applyFont="1" applyFill="1" applyBorder="1"/>
    <xf numFmtId="0" fontId="31" fillId="0" borderId="0" xfId="0" applyFont="1" applyFill="1" applyBorder="1" applyAlignment="1">
      <alignment horizontal="center"/>
    </xf>
    <xf numFmtId="0" fontId="31" fillId="0" borderId="5" xfId="0" applyFont="1" applyFill="1" applyBorder="1" applyAlignment="1">
      <alignment horizontal="center"/>
    </xf>
    <xf numFmtId="0" fontId="0" fillId="0" borderId="1" xfId="0" applyFill="1" applyBorder="1"/>
    <xf numFmtId="0" fontId="0" fillId="0" borderId="2" xfId="0" applyFill="1" applyBorder="1"/>
    <xf numFmtId="0" fontId="0" fillId="0" borderId="3" xfId="0" applyFill="1" applyBorder="1"/>
    <xf numFmtId="0" fontId="1" fillId="0" borderId="26" xfId="8" applyFont="1" applyFill="1" applyBorder="1"/>
    <xf numFmtId="0" fontId="1" fillId="0" borderId="0" xfId="8" applyFont="1" applyFill="1" applyBorder="1" applyAlignment="1">
      <alignment horizontal="center"/>
    </xf>
    <xf numFmtId="0" fontId="1" fillId="0" borderId="5" xfId="8" applyFont="1" applyFill="1" applyBorder="1" applyAlignment="1">
      <alignment horizontal="center"/>
    </xf>
    <xf numFmtId="0" fontId="1" fillId="0" borderId="27" xfId="8" applyFont="1" applyFill="1" applyBorder="1"/>
    <xf numFmtId="0" fontId="1" fillId="0" borderId="7" xfId="8" applyFont="1" applyFill="1" applyBorder="1" applyAlignment="1">
      <alignment horizontal="center"/>
    </xf>
    <xf numFmtId="0" fontId="1" fillId="0" borderId="8" xfId="8" applyFont="1" applyFill="1" applyBorder="1" applyAlignment="1">
      <alignment horizontal="center"/>
    </xf>
    <xf numFmtId="0" fontId="0" fillId="0" borderId="6" xfId="0" applyFill="1" applyBorder="1"/>
    <xf numFmtId="0" fontId="0" fillId="0" borderId="7" xfId="0" applyFill="1" applyBorder="1"/>
    <xf numFmtId="0" fontId="0" fillId="0" borderId="8" xfId="0" applyFill="1" applyBorder="1"/>
    <xf numFmtId="0" fontId="1" fillId="0" borderId="0" xfId="8" applyFill="1" applyBorder="1"/>
    <xf numFmtId="0" fontId="1" fillId="0" borderId="0" xfId="8" applyFill="1"/>
    <xf numFmtId="0" fontId="0" fillId="0" borderId="0" xfId="0" applyFont="1" applyFill="1" applyBorder="1"/>
    <xf numFmtId="0" fontId="3" fillId="0" borderId="0" xfId="0" applyFont="1" applyFill="1"/>
    <xf numFmtId="0" fontId="51" fillId="0" borderId="12" xfId="0" applyFont="1" applyFill="1" applyBorder="1" applyAlignment="1">
      <alignment horizontal="center" wrapText="1"/>
    </xf>
    <xf numFmtId="0" fontId="43" fillId="0" borderId="0" xfId="15" applyFont="1" applyFill="1" applyBorder="1" applyAlignment="1">
      <alignment horizontal="left" vertical="center" wrapText="1"/>
    </xf>
    <xf numFmtId="0" fontId="45" fillId="0" borderId="0" xfId="15" applyFont="1" applyFill="1" applyBorder="1" applyAlignment="1">
      <alignment horizontal="left" vertical="center" wrapText="1"/>
    </xf>
    <xf numFmtId="3" fontId="1" fillId="7" borderId="68" xfId="7" applyNumberFormat="1" applyFont="1" applyBorder="1" applyAlignment="1">
      <alignment horizontal="left"/>
    </xf>
    <xf numFmtId="0" fontId="1" fillId="7" borderId="68" xfId="7" applyFont="1" applyBorder="1" applyAlignment="1">
      <alignment horizontal="left"/>
    </xf>
    <xf numFmtId="0" fontId="0" fillId="0" borderId="0" xfId="0" applyBorder="1"/>
    <xf numFmtId="0" fontId="0" fillId="0" borderId="4" xfId="0" applyBorder="1"/>
    <xf numFmtId="0" fontId="0" fillId="0" borderId="6" xfId="0" applyBorder="1"/>
    <xf numFmtId="0" fontId="0" fillId="0" borderId="0" xfId="0" applyBorder="1" applyAlignment="1">
      <alignment horizontal="left" vertical="top" wrapText="1"/>
    </xf>
    <xf numFmtId="0" fontId="0" fillId="0" borderId="0" xfId="0" applyBorder="1" applyAlignment="1">
      <alignment wrapText="1"/>
    </xf>
    <xf numFmtId="0" fontId="0" fillId="0" borderId="37" xfId="0" applyBorder="1"/>
    <xf numFmtId="0" fontId="18" fillId="0" borderId="0" xfId="0" applyFont="1" applyBorder="1" applyAlignment="1">
      <alignment wrapText="1"/>
    </xf>
    <xf numFmtId="166" fontId="1" fillId="7" borderId="71" xfId="7" applyNumberFormat="1" applyFont="1" applyBorder="1" applyAlignment="1">
      <alignment horizontal="left"/>
    </xf>
    <xf numFmtId="166" fontId="0" fillId="0" borderId="48" xfId="0" applyNumberFormat="1" applyBorder="1"/>
    <xf numFmtId="166" fontId="0" fillId="0" borderId="42" xfId="0" applyNumberFormat="1" applyBorder="1"/>
    <xf numFmtId="166" fontId="0" fillId="0" borderId="43" xfId="0" applyNumberFormat="1" applyBorder="1"/>
    <xf numFmtId="166" fontId="0" fillId="0" borderId="38" xfId="0" applyNumberFormat="1" applyBorder="1"/>
    <xf numFmtId="166" fontId="0" fillId="0" borderId="39" xfId="0" applyNumberFormat="1" applyBorder="1"/>
    <xf numFmtId="166" fontId="0" fillId="0" borderId="40" xfId="0" applyNumberFormat="1" applyBorder="1"/>
    <xf numFmtId="3" fontId="0" fillId="0" borderId="0" xfId="0" applyNumberFormat="1" applyBorder="1" applyAlignment="1">
      <alignment horizontal="center" wrapText="1"/>
    </xf>
    <xf numFmtId="0" fontId="19" fillId="0" borderId="0" xfId="0" applyFont="1" applyAlignment="1">
      <alignment horizontal="center" vertical="center"/>
    </xf>
    <xf numFmtId="0" fontId="18" fillId="0" borderId="0" xfId="0" applyFont="1" applyAlignment="1">
      <alignment horizontal="center" vertical="center"/>
    </xf>
    <xf numFmtId="0" fontId="18" fillId="0" borderId="29" xfId="0" applyFont="1" applyBorder="1" applyAlignment="1">
      <alignment horizontal="center" vertical="center"/>
    </xf>
    <xf numFmtId="3" fontId="27" fillId="2" borderId="13" xfId="2" applyNumberFormat="1" applyFont="1" applyAlignment="1">
      <alignment horizontal="center" vertical="center"/>
    </xf>
    <xf numFmtId="3" fontId="18" fillId="0" borderId="0" xfId="0" applyNumberFormat="1" applyFont="1" applyAlignment="1">
      <alignment horizontal="center" vertical="center"/>
    </xf>
    <xf numFmtId="3" fontId="18" fillId="6" borderId="13" xfId="6" applyNumberFormat="1" applyFont="1" applyBorder="1" applyAlignment="1">
      <alignment horizontal="center" vertical="center"/>
    </xf>
    <xf numFmtId="0" fontId="18" fillId="0" borderId="0" xfId="0" applyFont="1" applyAlignment="1">
      <alignment horizontal="center" vertical="center" wrapText="1"/>
    </xf>
    <xf numFmtId="9" fontId="18" fillId="6" borderId="13" xfId="6" applyNumberFormat="1" applyFont="1" applyBorder="1" applyAlignment="1">
      <alignment horizontal="center" vertical="center"/>
    </xf>
    <xf numFmtId="3" fontId="18" fillId="0" borderId="29" xfId="0" applyNumberFormat="1" applyFont="1" applyBorder="1" applyAlignment="1">
      <alignment horizontal="center" vertical="center"/>
    </xf>
    <xf numFmtId="0" fontId="18" fillId="0" borderId="1" xfId="0" applyFont="1" applyBorder="1" applyAlignment="1">
      <alignment horizontal="center" vertical="center"/>
    </xf>
    <xf numFmtId="0" fontId="18" fillId="0" borderId="4" xfId="0" applyFont="1" applyBorder="1" applyAlignment="1">
      <alignment horizontal="center" vertical="center"/>
    </xf>
    <xf numFmtId="3" fontId="18" fillId="0" borderId="4" xfId="0" applyNumberFormat="1" applyFont="1" applyBorder="1" applyAlignment="1">
      <alignment horizontal="center" vertical="center"/>
    </xf>
    <xf numFmtId="9" fontId="18" fillId="0" borderId="4" xfId="1" applyFont="1" applyBorder="1" applyAlignment="1">
      <alignment horizontal="center" vertical="center"/>
    </xf>
    <xf numFmtId="0" fontId="18" fillId="0" borderId="6" xfId="0" applyFont="1" applyBorder="1" applyAlignment="1">
      <alignment horizontal="center" vertical="center"/>
    </xf>
    <xf numFmtId="3" fontId="18" fillId="7" borderId="14" xfId="7" applyNumberFormat="1" applyFont="1" applyBorder="1" applyAlignment="1">
      <alignment horizontal="center" vertical="center"/>
    </xf>
    <xf numFmtId="3" fontId="18" fillId="7" borderId="12" xfId="7" applyNumberFormat="1" applyFont="1" applyBorder="1" applyAlignment="1">
      <alignment horizontal="center" vertical="center"/>
    </xf>
    <xf numFmtId="3" fontId="18" fillId="0" borderId="0" xfId="0" applyNumberFormat="1" applyFont="1" applyBorder="1" applyAlignment="1">
      <alignment horizontal="center" wrapText="1"/>
    </xf>
    <xf numFmtId="0" fontId="42" fillId="0" borderId="0" xfId="15" applyBorder="1" applyAlignment="1">
      <alignment wrapText="1"/>
    </xf>
    <xf numFmtId="9" fontId="18" fillId="0" borderId="0" xfId="0" applyNumberFormat="1" applyFont="1" applyBorder="1" applyAlignment="1">
      <alignment horizontal="center" wrapText="1"/>
    </xf>
    <xf numFmtId="3" fontId="0" fillId="0" borderId="4" xfId="0" applyNumberFormat="1" applyBorder="1" applyAlignment="1">
      <alignment horizontal="center" wrapText="1"/>
    </xf>
    <xf numFmtId="3" fontId="0" fillId="0" borderId="5" xfId="0" applyNumberFormat="1" applyBorder="1" applyAlignment="1">
      <alignment horizontal="center" wrapText="1"/>
    </xf>
    <xf numFmtId="3" fontId="18" fillId="0" borderId="4" xfId="0" applyNumberFormat="1" applyFont="1" applyBorder="1" applyAlignment="1">
      <alignment horizontal="center" wrapText="1"/>
    </xf>
    <xf numFmtId="3" fontId="18" fillId="0" borderId="5" xfId="0" applyNumberFormat="1" applyFont="1" applyBorder="1" applyAlignment="1">
      <alignment horizontal="center" wrapText="1"/>
    </xf>
    <xf numFmtId="9" fontId="18" fillId="0" borderId="4" xfId="0" applyNumberFormat="1" applyFont="1" applyBorder="1" applyAlignment="1">
      <alignment horizontal="center" wrapText="1"/>
    </xf>
    <xf numFmtId="9" fontId="18" fillId="0" borderId="5" xfId="0" applyNumberFormat="1" applyFont="1" applyBorder="1" applyAlignment="1">
      <alignment horizontal="center" wrapText="1"/>
    </xf>
    <xf numFmtId="9" fontId="18" fillId="0" borderId="6" xfId="0" applyNumberFormat="1" applyFont="1" applyBorder="1" applyAlignment="1">
      <alignment horizontal="center" wrapText="1"/>
    </xf>
    <xf numFmtId="9" fontId="18" fillId="0" borderId="7" xfId="0" applyNumberFormat="1" applyFont="1" applyBorder="1" applyAlignment="1">
      <alignment horizontal="center" wrapText="1"/>
    </xf>
    <xf numFmtId="9" fontId="18" fillId="0" borderId="8" xfId="0" applyNumberFormat="1" applyFont="1" applyBorder="1" applyAlignment="1">
      <alignment horizontal="center" wrapText="1"/>
    </xf>
    <xf numFmtId="0" fontId="18" fillId="0" borderId="72" xfId="0" applyFont="1" applyBorder="1" applyAlignment="1">
      <alignment wrapText="1"/>
    </xf>
    <xf numFmtId="0" fontId="18" fillId="0" borderId="26" xfId="0" applyFont="1" applyBorder="1" applyAlignment="1">
      <alignment wrapText="1"/>
    </xf>
    <xf numFmtId="0" fontId="18" fillId="0" borderId="27" xfId="0" applyFont="1" applyBorder="1" applyAlignment="1">
      <alignment wrapText="1"/>
    </xf>
    <xf numFmtId="0" fontId="4" fillId="13" borderId="9" xfId="14" applyBorder="1" applyAlignment="1">
      <alignment horizontal="center" wrapText="1"/>
    </xf>
    <xf numFmtId="0" fontId="4" fillId="13" borderId="10" xfId="14" applyBorder="1" applyAlignment="1">
      <alignment horizontal="center" wrapText="1"/>
    </xf>
    <xf numFmtId="0" fontId="4" fillId="13" borderId="11" xfId="14" applyBorder="1" applyAlignment="1">
      <alignment horizontal="center" wrapText="1"/>
    </xf>
    <xf numFmtId="0" fontId="18" fillId="0" borderId="36" xfId="0" applyFont="1" applyBorder="1" applyAlignment="1">
      <alignment wrapText="1"/>
    </xf>
    <xf numFmtId="0" fontId="42" fillId="0" borderId="37" xfId="15" applyBorder="1" applyAlignment="1">
      <alignment wrapText="1"/>
    </xf>
    <xf numFmtId="0" fontId="18" fillId="0" borderId="38" xfId="0" applyFont="1" applyBorder="1" applyAlignment="1">
      <alignment wrapText="1"/>
    </xf>
    <xf numFmtId="0" fontId="18" fillId="0" borderId="39" xfId="0" applyFont="1" applyBorder="1" applyAlignment="1">
      <alignment wrapText="1"/>
    </xf>
    <xf numFmtId="9" fontId="18" fillId="0" borderId="39" xfId="0" applyNumberFormat="1" applyFont="1" applyBorder="1" applyAlignment="1">
      <alignment horizontal="center" wrapText="1"/>
    </xf>
    <xf numFmtId="0" fontId="42" fillId="0" borderId="39" xfId="15" applyBorder="1" applyAlignment="1">
      <alignment wrapText="1"/>
    </xf>
    <xf numFmtId="0" fontId="42" fillId="0" borderId="40" xfId="15" applyBorder="1" applyAlignment="1">
      <alignment wrapText="1"/>
    </xf>
    <xf numFmtId="3" fontId="23" fillId="0" borderId="0" xfId="0" applyNumberFormat="1" applyFont="1" applyBorder="1"/>
    <xf numFmtId="166" fontId="1" fillId="7" borderId="69" xfId="7" applyNumberFormat="1" applyFont="1" applyBorder="1" applyAlignment="1">
      <alignment horizontal="left"/>
    </xf>
    <xf numFmtId="3" fontId="1" fillId="7" borderId="36" xfId="7" applyNumberFormat="1" applyFont="1" applyBorder="1"/>
    <xf numFmtId="3" fontId="1" fillId="7" borderId="69" xfId="7" applyNumberFormat="1" applyFont="1" applyBorder="1"/>
    <xf numFmtId="0" fontId="3" fillId="0" borderId="1" xfId="0" applyFont="1" applyBorder="1" applyAlignment="1">
      <alignment wrapText="1"/>
    </xf>
    <xf numFmtId="0" fontId="3" fillId="0" borderId="2" xfId="0" applyFont="1" applyBorder="1" applyAlignment="1">
      <alignment wrapText="1"/>
    </xf>
    <xf numFmtId="0" fontId="3" fillId="0" borderId="3" xfId="0" applyFont="1" applyBorder="1" applyAlignment="1">
      <alignment wrapText="1"/>
    </xf>
    <xf numFmtId="0" fontId="1" fillId="6" borderId="0" xfId="6" applyFont="1" applyBorder="1"/>
    <xf numFmtId="0" fontId="1" fillId="7" borderId="0" xfId="7" applyFont="1" applyBorder="1"/>
    <xf numFmtId="0" fontId="1" fillId="7" borderId="5" xfId="7" applyFont="1" applyBorder="1"/>
    <xf numFmtId="0" fontId="1" fillId="6" borderId="7" xfId="6" applyFont="1" applyBorder="1"/>
    <xf numFmtId="0" fontId="1" fillId="7" borderId="7" xfId="7" applyFont="1" applyBorder="1"/>
    <xf numFmtId="0" fontId="1" fillId="7" borderId="8" xfId="7" applyFont="1" applyBorder="1"/>
    <xf numFmtId="3" fontId="1" fillId="7" borderId="68" xfId="7" applyNumberFormat="1" applyFont="1" applyBorder="1" applyAlignment="1">
      <alignment horizontal="left" vertical="center"/>
    </xf>
    <xf numFmtId="166" fontId="1" fillId="7" borderId="68" xfId="7" applyNumberFormat="1" applyFont="1" applyBorder="1" applyAlignment="1">
      <alignment horizontal="left"/>
    </xf>
    <xf numFmtId="0" fontId="3" fillId="0" borderId="0" xfId="0" applyFont="1" applyFill="1" applyAlignment="1">
      <alignment horizontal="center"/>
    </xf>
    <xf numFmtId="0" fontId="3" fillId="0" borderId="26" xfId="0" applyFont="1" applyFill="1" applyBorder="1" applyAlignment="1">
      <alignment horizontal="center"/>
    </xf>
    <xf numFmtId="0" fontId="3" fillId="0" borderId="27" xfId="0" applyFont="1" applyFill="1" applyBorder="1" applyAlignment="1">
      <alignment horizontal="center"/>
    </xf>
    <xf numFmtId="10" fontId="0" fillId="17" borderId="5" xfId="0" applyNumberFormat="1" applyFill="1" applyBorder="1" applyAlignment="1">
      <alignment horizontal="center"/>
    </xf>
    <xf numFmtId="0" fontId="0" fillId="17" borderId="59" xfId="0" applyFill="1" applyBorder="1" applyAlignment="1">
      <alignment horizontal="center"/>
    </xf>
    <xf numFmtId="0" fontId="0" fillId="17" borderId="36" xfId="0" applyFill="1" applyBorder="1" applyAlignment="1">
      <alignment horizontal="center"/>
    </xf>
    <xf numFmtId="0" fontId="0" fillId="17" borderId="37" xfId="0" applyFill="1" applyBorder="1" applyAlignment="1">
      <alignment horizontal="center"/>
    </xf>
    <xf numFmtId="0" fontId="0" fillId="17" borderId="0" xfId="0" applyFill="1" applyBorder="1" applyAlignment="1">
      <alignment horizontal="center"/>
    </xf>
    <xf numFmtId="9" fontId="0" fillId="17" borderId="36" xfId="0" applyNumberFormat="1" applyFill="1" applyBorder="1" applyAlignment="1">
      <alignment horizontal="center"/>
    </xf>
    <xf numFmtId="9" fontId="0" fillId="17" borderId="37" xfId="0" applyNumberFormat="1" applyFill="1" applyBorder="1" applyAlignment="1">
      <alignment horizontal="center"/>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1" fillId="5" borderId="0" xfId="0" applyFont="1" applyFill="1" applyBorder="1" applyAlignment="1">
      <alignment wrapText="1"/>
    </xf>
    <xf numFmtId="0" fontId="1" fillId="5" borderId="5" xfId="0" applyFont="1" applyFill="1" applyBorder="1" applyAlignment="1">
      <alignment wrapText="1"/>
    </xf>
    <xf numFmtId="0" fontId="2" fillId="5" borderId="0" xfId="0" applyFont="1" applyFill="1" applyBorder="1" applyAlignment="1">
      <alignment wrapText="1"/>
    </xf>
    <xf numFmtId="0" fontId="2" fillId="5" borderId="5" xfId="0" applyFont="1" applyFill="1" applyBorder="1" applyAlignment="1">
      <alignment wrapText="1"/>
    </xf>
    <xf numFmtId="0" fontId="23" fillId="5" borderId="0" xfId="0" applyFont="1" applyFill="1" applyBorder="1" applyAlignment="1">
      <alignment horizontal="left" vertical="center" wrapText="1"/>
    </xf>
    <xf numFmtId="0" fontId="25" fillId="5" borderId="0" xfId="0" applyFont="1" applyFill="1" applyBorder="1" applyAlignment="1">
      <alignment horizontal="left" vertical="center" wrapText="1"/>
    </xf>
    <xf numFmtId="0" fontId="25" fillId="5" borderId="5" xfId="0" applyFont="1" applyFill="1" applyBorder="1" applyAlignment="1">
      <alignment horizontal="left" vertical="center" wrapText="1"/>
    </xf>
    <xf numFmtId="0" fontId="25" fillId="5" borderId="1" xfId="0" applyFont="1" applyFill="1" applyBorder="1" applyAlignment="1">
      <alignment horizontal="left" vertical="center" wrapText="1"/>
    </xf>
    <xf numFmtId="0" fontId="25" fillId="5" borderId="2" xfId="0" applyFont="1" applyFill="1" applyBorder="1" applyAlignment="1">
      <alignment horizontal="left" vertical="center" wrapText="1"/>
    </xf>
    <xf numFmtId="0" fontId="25" fillId="5" borderId="3" xfId="0" applyFont="1" applyFill="1" applyBorder="1" applyAlignment="1">
      <alignment horizontal="left" vertical="center" wrapText="1"/>
    </xf>
    <xf numFmtId="0" fontId="1" fillId="5" borderId="0"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21" xfId="0" applyFont="1" applyFill="1" applyBorder="1" applyAlignment="1">
      <alignment horizontal="left" vertical="center" wrapText="1"/>
    </xf>
    <xf numFmtId="0" fontId="0" fillId="5" borderId="4" xfId="0" applyFill="1" applyBorder="1" applyAlignment="1">
      <alignment horizontal="left" vertical="center" wrapText="1"/>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top" wrapText="1"/>
    </xf>
    <xf numFmtId="0" fontId="0" fillId="5" borderId="0" xfId="0" applyFill="1" applyBorder="1" applyAlignment="1">
      <alignment horizontal="left" vertical="top" wrapText="1"/>
    </xf>
    <xf numFmtId="0" fontId="0" fillId="5" borderId="5" xfId="0" applyFill="1" applyBorder="1" applyAlignment="1">
      <alignment horizontal="left" vertical="top" wrapText="1"/>
    </xf>
    <xf numFmtId="0" fontId="0" fillId="0" borderId="67" xfId="0" applyFont="1" applyBorder="1" applyAlignment="1">
      <alignment wrapText="1"/>
    </xf>
    <xf numFmtId="0" fontId="0" fillId="0" borderId="10" xfId="0" applyFont="1" applyBorder="1" applyAlignment="1">
      <alignment wrapText="1"/>
    </xf>
    <xf numFmtId="0" fontId="55" fillId="15" borderId="1" xfId="16" applyFont="1" applyBorder="1" applyAlignment="1">
      <alignment horizontal="center"/>
    </xf>
    <xf numFmtId="0" fontId="55" fillId="15" borderId="2" xfId="16" applyFont="1" applyBorder="1" applyAlignment="1">
      <alignment horizontal="center"/>
    </xf>
    <xf numFmtId="0" fontId="55" fillId="15" borderId="3" xfId="16" applyFont="1" applyBorder="1" applyAlignment="1">
      <alignment horizontal="center"/>
    </xf>
    <xf numFmtId="0" fontId="42" fillId="0" borderId="0" xfId="15" applyBorder="1" applyAlignment="1">
      <alignment wrapText="1"/>
    </xf>
    <xf numFmtId="0" fontId="42" fillId="0" borderId="37" xfId="15" applyBorder="1" applyAlignment="1">
      <alignment wrapText="1"/>
    </xf>
    <xf numFmtId="0" fontId="0" fillId="0" borderId="69" xfId="0" applyFont="1" applyBorder="1" applyAlignment="1">
      <alignment wrapText="1"/>
    </xf>
    <xf numFmtId="0" fontId="0" fillId="0" borderId="70" xfId="0" applyFont="1" applyBorder="1" applyAlignment="1">
      <alignment wrapText="1"/>
    </xf>
    <xf numFmtId="0" fontId="23" fillId="0" borderId="29" xfId="15" applyFont="1" applyFill="1" applyBorder="1" applyAlignment="1">
      <alignment horizontal="left" vertical="center" wrapText="1"/>
    </xf>
    <xf numFmtId="0" fontId="53" fillId="0" borderId="30" xfId="15" applyFont="1" applyFill="1" applyBorder="1" applyAlignment="1">
      <alignment horizontal="left" vertical="center" wrapText="1"/>
    </xf>
    <xf numFmtId="0" fontId="53" fillId="0" borderId="31" xfId="15" applyFont="1" applyFill="1" applyBorder="1" applyAlignment="1">
      <alignment horizontal="left" vertical="center" wrapText="1"/>
    </xf>
    <xf numFmtId="0" fontId="23" fillId="11" borderId="54" xfId="0" applyFont="1" applyFill="1" applyBorder="1" applyAlignment="1">
      <alignment horizontal="left" vertical="center" wrapText="1"/>
    </xf>
    <xf numFmtId="0" fontId="23" fillId="11" borderId="66" xfId="0" applyFont="1" applyFill="1" applyBorder="1" applyAlignment="1">
      <alignment horizontal="left" vertical="center"/>
    </xf>
    <xf numFmtId="0" fontId="23" fillId="11" borderId="55" xfId="0" applyFont="1" applyFill="1" applyBorder="1" applyAlignment="1">
      <alignment horizontal="left" vertical="center"/>
    </xf>
    <xf numFmtId="0" fontId="0" fillId="0" borderId="67" xfId="0" applyFont="1" applyBorder="1" applyAlignment="1">
      <alignment horizontal="left" wrapText="1"/>
    </xf>
    <xf numFmtId="0" fontId="0" fillId="0" borderId="10" xfId="0" applyFont="1" applyBorder="1" applyAlignment="1">
      <alignment horizontal="left" wrapText="1"/>
    </xf>
    <xf numFmtId="3" fontId="0" fillId="16" borderId="54" xfId="17" applyNumberFormat="1" applyFont="1" applyBorder="1" applyAlignment="1">
      <alignment horizontal="left" vertical="center" wrapText="1"/>
    </xf>
    <xf numFmtId="3" fontId="4" fillId="16" borderId="66" xfId="17" applyNumberFormat="1" applyBorder="1" applyAlignment="1">
      <alignment horizontal="left" vertical="center"/>
    </xf>
    <xf numFmtId="3" fontId="4" fillId="16" borderId="55" xfId="17" applyNumberFormat="1" applyBorder="1" applyAlignment="1">
      <alignment horizontal="left" vertical="center"/>
    </xf>
    <xf numFmtId="0" fontId="0" fillId="0" borderId="67" xfId="0" applyFont="1" applyBorder="1"/>
    <xf numFmtId="0" fontId="0" fillId="0" borderId="10" xfId="0" applyFont="1" applyBorder="1"/>
    <xf numFmtId="0" fontId="3" fillId="0" borderId="69" xfId="0" applyFont="1" applyBorder="1"/>
    <xf numFmtId="0" fontId="0" fillId="0" borderId="70" xfId="0" applyFont="1" applyBorder="1"/>
    <xf numFmtId="0" fontId="0" fillId="0" borderId="67" xfId="0" applyBorder="1" applyAlignment="1">
      <alignment horizontal="left" wrapText="1"/>
    </xf>
    <xf numFmtId="0" fontId="0" fillId="0" borderId="67" xfId="0" applyBorder="1" applyAlignment="1">
      <alignment wrapText="1"/>
    </xf>
    <xf numFmtId="3" fontId="0" fillId="16" borderId="48" xfId="17" applyNumberFormat="1" applyFont="1" applyBorder="1" applyAlignment="1">
      <alignment horizontal="left" vertical="center" wrapText="1"/>
    </xf>
    <xf numFmtId="3" fontId="4" fillId="16" borderId="42" xfId="17" applyNumberFormat="1" applyBorder="1" applyAlignment="1">
      <alignment horizontal="left" vertical="center"/>
    </xf>
    <xf numFmtId="3" fontId="4" fillId="16" borderId="43" xfId="17" applyNumberFormat="1" applyBorder="1" applyAlignment="1">
      <alignment horizontal="left" vertical="center"/>
    </xf>
    <xf numFmtId="0" fontId="18" fillId="0" borderId="0" xfId="0" applyFont="1" applyBorder="1" applyAlignment="1">
      <alignment wrapText="1"/>
    </xf>
    <xf numFmtId="0" fontId="0" fillId="0" borderId="67" xfId="0" applyFont="1" applyBorder="1" applyAlignment="1"/>
    <xf numFmtId="0" fontId="0" fillId="0" borderId="10" xfId="0" applyFont="1" applyBorder="1" applyAlignment="1"/>
    <xf numFmtId="0" fontId="34" fillId="0" borderId="67" xfId="0" applyFont="1" applyFill="1" applyBorder="1" applyAlignment="1"/>
    <xf numFmtId="0" fontId="34" fillId="0" borderId="10" xfId="0" applyFont="1" applyFill="1" applyBorder="1" applyAlignment="1"/>
    <xf numFmtId="0" fontId="34" fillId="0" borderId="69" xfId="0" applyFont="1" applyFill="1" applyBorder="1" applyAlignment="1"/>
    <xf numFmtId="0" fontId="34" fillId="0" borderId="70" xfId="0" applyFont="1" applyFill="1" applyBorder="1" applyAlignment="1"/>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3" fontId="0" fillId="16" borderId="48" xfId="17" applyNumberFormat="1" applyFont="1" applyBorder="1" applyAlignment="1">
      <alignment wrapText="1"/>
    </xf>
    <xf numFmtId="3" fontId="4" fillId="16" borderId="42" xfId="17" applyNumberFormat="1" applyBorder="1"/>
    <xf numFmtId="3" fontId="4" fillId="16" borderId="43" xfId="17" applyNumberFormat="1" applyBorder="1"/>
    <xf numFmtId="0" fontId="0" fillId="0" borderId="37" xfId="0" applyBorder="1"/>
    <xf numFmtId="0" fontId="0" fillId="0" borderId="70" xfId="0" applyBorder="1"/>
    <xf numFmtId="0" fontId="0" fillId="0" borderId="71" xfId="0" applyBorder="1"/>
    <xf numFmtId="3" fontId="23" fillId="16" borderId="48" xfId="17" applyNumberFormat="1" applyFont="1" applyBorder="1" applyAlignment="1">
      <alignment wrapText="1"/>
    </xf>
    <xf numFmtId="0" fontId="3" fillId="0" borderId="29" xfId="0" applyFont="1" applyBorder="1"/>
    <xf numFmtId="0" fontId="3" fillId="0" borderId="30" xfId="0" applyFont="1" applyBorder="1"/>
    <xf numFmtId="0" fontId="3" fillId="0" borderId="31" xfId="0" applyFont="1" applyBorder="1"/>
    <xf numFmtId="0" fontId="18" fillId="0" borderId="48" xfId="0" applyFont="1" applyBorder="1" applyAlignment="1">
      <alignment horizontal="left" vertical="center"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36" xfId="0" applyFont="1" applyBorder="1" applyAlignment="1">
      <alignment horizontal="left" vertical="center" wrapText="1"/>
    </xf>
    <xf numFmtId="0" fontId="18" fillId="0" borderId="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9" xfId="0" applyFont="1" applyBorder="1" applyAlignment="1">
      <alignment horizontal="left" vertical="center" wrapText="1"/>
    </xf>
    <xf numFmtId="0" fontId="18" fillId="0" borderId="40" xfId="0" applyFont="1" applyBorder="1" applyAlignment="1">
      <alignment horizontal="left" vertical="center" wrapText="1"/>
    </xf>
    <xf numFmtId="0" fontId="0" fillId="0" borderId="16" xfId="0" applyBorder="1" applyAlignment="1">
      <alignment horizontal="left" vertical="center"/>
    </xf>
    <xf numFmtId="0" fontId="0" fillId="0" borderId="0" xfId="0" applyAlignment="1">
      <alignment horizontal="left" vertic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0" fillId="0" borderId="0" xfId="0" applyAlignment="1">
      <alignment horizontal="left"/>
    </xf>
    <xf numFmtId="0" fontId="3" fillId="0" borderId="20" xfId="0" applyFont="1" applyBorder="1" applyAlignment="1">
      <alignment horizontal="left" vertical="center" wrapText="1"/>
    </xf>
    <xf numFmtId="0" fontId="3" fillId="0" borderId="0" xfId="0" applyFont="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11" fillId="0" borderId="0" xfId="5" applyAlignment="1">
      <alignment horizontal="left" vertical="center"/>
    </xf>
    <xf numFmtId="0" fontId="0" fillId="0" borderId="0" xfId="0" applyAlignment="1">
      <alignment horizontal="left" wrapText="1"/>
    </xf>
    <xf numFmtId="0" fontId="18" fillId="0" borderId="29" xfId="0" applyFont="1" applyBorder="1" applyAlignment="1">
      <alignment horizontal="left" vertical="center" wrapText="1"/>
    </xf>
    <xf numFmtId="0" fontId="18" fillId="0" borderId="30" xfId="0" applyFont="1" applyBorder="1" applyAlignment="1">
      <alignment horizontal="left" vertical="center"/>
    </xf>
    <xf numFmtId="0" fontId="18" fillId="0" borderId="31" xfId="0" applyFont="1" applyBorder="1" applyAlignment="1">
      <alignment horizontal="left" vertical="center"/>
    </xf>
    <xf numFmtId="0" fontId="0" fillId="0" borderId="0" xfId="0" applyFont="1" applyAlignment="1">
      <alignment horizontal="left" vertical="center" wrapText="1"/>
    </xf>
    <xf numFmtId="0" fontId="0" fillId="0" borderId="16" xfId="0" applyFont="1" applyBorder="1" applyAlignment="1">
      <alignment horizontal="left" vertical="center" wrapText="1"/>
    </xf>
    <xf numFmtId="0" fontId="11" fillId="0" borderId="0" xfId="5" applyAlignment="1">
      <alignment horizontal="center" vertical="center"/>
    </xf>
    <xf numFmtId="0" fontId="21" fillId="0" borderId="0" xfId="0" applyFont="1" applyAlignment="1">
      <alignment horizontal="left"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0" fillId="0" borderId="16" xfId="0" applyBorder="1" applyAlignment="1">
      <alignment horizontal="left" vertical="top" wrapText="1"/>
    </xf>
    <xf numFmtId="0" fontId="0" fillId="0" borderId="0" xfId="0" applyAlignment="1">
      <alignment horizontal="left" vertical="top" wrapText="1"/>
    </xf>
    <xf numFmtId="0" fontId="50" fillId="0" borderId="4" xfId="0" applyFont="1" applyBorder="1" applyAlignment="1">
      <alignment horizontal="left" vertical="center" wrapText="1"/>
    </xf>
    <xf numFmtId="0" fontId="50" fillId="0" borderId="0" xfId="0" applyFont="1" applyAlignment="1">
      <alignment horizontal="left" vertical="center" wrapText="1"/>
    </xf>
    <xf numFmtId="0" fontId="42" fillId="0" borderId="0" xfId="15" applyBorder="1" applyAlignment="1">
      <alignment horizontal="center" vertical="top" wrapText="1"/>
    </xf>
    <xf numFmtId="0" fontId="0" fillId="0" borderId="43" xfId="0" applyBorder="1" applyAlignment="1">
      <alignment horizontal="center" wrapText="1"/>
    </xf>
    <xf numFmtId="0" fontId="0" fillId="0" borderId="40" xfId="0" applyBorder="1" applyAlignment="1">
      <alignment horizontal="center" wrapText="1"/>
    </xf>
    <xf numFmtId="0" fontId="0" fillId="0" borderId="42" xfId="0" applyBorder="1" applyAlignment="1">
      <alignment horizontal="center" wrapText="1"/>
    </xf>
    <xf numFmtId="0" fontId="0" fillId="0" borderId="39" xfId="0" applyBorder="1" applyAlignment="1">
      <alignment horizontal="center" wrapText="1"/>
    </xf>
    <xf numFmtId="0" fontId="53" fillId="0" borderId="39" xfId="15" applyFont="1" applyFill="1" applyBorder="1"/>
    <xf numFmtId="0" fontId="53" fillId="0" borderId="30" xfId="15" applyFont="1" applyBorder="1" applyAlignment="1">
      <alignment horizontal="left"/>
    </xf>
    <xf numFmtId="0" fontId="0" fillId="0" borderId="42" xfId="0" applyBorder="1" applyAlignment="1">
      <alignment horizontal="center" vertical="center" wrapText="1"/>
    </xf>
    <xf numFmtId="0" fontId="0" fillId="0" borderId="39" xfId="0" applyBorder="1" applyAlignment="1">
      <alignment horizontal="center" vertical="center"/>
    </xf>
    <xf numFmtId="0" fontId="3" fillId="0" borderId="42" xfId="0" applyFont="1" applyBorder="1" applyAlignment="1">
      <alignment horizontal="center" vertical="center" wrapText="1"/>
    </xf>
    <xf numFmtId="0" fontId="3" fillId="0" borderId="39" xfId="0" applyFont="1" applyBorder="1" applyAlignment="1">
      <alignment horizontal="center" vertical="center" wrapText="1"/>
    </xf>
    <xf numFmtId="0" fontId="0" fillId="0" borderId="48" xfId="0" applyBorder="1" applyAlignment="1">
      <alignment horizontal="center" wrapText="1"/>
    </xf>
    <xf numFmtId="0" fontId="0" fillId="0" borderId="38" xfId="0" applyBorder="1" applyAlignment="1">
      <alignment horizontal="center" wrapText="1"/>
    </xf>
    <xf numFmtId="0" fontId="0" fillId="0" borderId="48" xfId="0" applyBorder="1"/>
    <xf numFmtId="0" fontId="0" fillId="0" borderId="42" xfId="0" applyBorder="1"/>
    <xf numFmtId="0" fontId="0" fillId="0" borderId="43" xfId="0" applyBorder="1"/>
    <xf numFmtId="0" fontId="0" fillId="0" borderId="36" xfId="0" applyBorder="1"/>
    <xf numFmtId="0" fontId="0" fillId="0" borderId="38" xfId="0" applyBorder="1"/>
    <xf numFmtId="0" fontId="0" fillId="0" borderId="39" xfId="0" applyBorder="1"/>
    <xf numFmtId="0" fontId="0" fillId="0" borderId="40" xfId="0" applyBorder="1"/>
    <xf numFmtId="0" fontId="18"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3" fillId="0" borderId="4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8" xfId="0" applyFont="1" applyBorder="1" applyAlignment="1">
      <alignment horizontal="center"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43" fillId="0" borderId="31" xfId="0" applyFont="1" applyBorder="1" applyAlignment="1">
      <alignment horizontal="left" vertical="center" wrapText="1"/>
    </xf>
    <xf numFmtId="0" fontId="2" fillId="8" borderId="7" xfId="0" applyFont="1" applyFill="1" applyBorder="1"/>
    <xf numFmtId="0" fontId="2" fillId="8" borderId="8" xfId="0" applyFont="1" applyFill="1" applyBorder="1"/>
    <xf numFmtId="0" fontId="2" fillId="0" borderId="2" xfId="0" applyFont="1" applyBorder="1"/>
    <xf numFmtId="0" fontId="2" fillId="0" borderId="3" xfId="0" applyFont="1" applyBorder="1"/>
    <xf numFmtId="0" fontId="2" fillId="0" borderId="7" xfId="0" applyFont="1" applyBorder="1"/>
    <xf numFmtId="0" fontId="2" fillId="0" borderId="8" xfId="0" applyFont="1" applyBorder="1"/>
    <xf numFmtId="0" fontId="2" fillId="0" borderId="0" xfId="0" applyFont="1" applyBorder="1"/>
    <xf numFmtId="0" fontId="2" fillId="0" borderId="5" xfId="0" applyFont="1" applyBorder="1"/>
    <xf numFmtId="0" fontId="2" fillId="8" borderId="0" xfId="0" applyFont="1" applyFill="1" applyBorder="1"/>
    <xf numFmtId="0" fontId="2" fillId="8" borderId="5" xfId="0" applyFont="1" applyFill="1" applyBorder="1"/>
    <xf numFmtId="0" fontId="2" fillId="0" borderId="2" xfId="0" applyFont="1" applyBorder="1" applyAlignment="1">
      <alignment horizontal="left"/>
    </xf>
    <xf numFmtId="0" fontId="2" fillId="0" borderId="3" xfId="0" applyFont="1" applyBorder="1" applyAlignment="1">
      <alignment horizontal="left"/>
    </xf>
    <xf numFmtId="0" fontId="2" fillId="8" borderId="0" xfId="0" applyFont="1" applyFill="1" applyBorder="1" applyAlignment="1">
      <alignment horizontal="left"/>
    </xf>
    <xf numFmtId="0" fontId="2" fillId="8" borderId="5" xfId="0" applyFont="1" applyFill="1" applyBorder="1" applyAlignment="1">
      <alignment horizontal="left"/>
    </xf>
    <xf numFmtId="0" fontId="2" fillId="0" borderId="0" xfId="0" applyFont="1" applyBorder="1" applyAlignment="1">
      <alignment horizontal="left"/>
    </xf>
    <xf numFmtId="0" fontId="2" fillId="0" borderId="5"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0" fillId="0" borderId="29" xfId="0" applyBorder="1" applyAlignment="1">
      <alignment wrapText="1"/>
    </xf>
    <xf numFmtId="0" fontId="0" fillId="0" borderId="30" xfId="0" applyFont="1" applyBorder="1"/>
    <xf numFmtId="0" fontId="0" fillId="0" borderId="31" xfId="0" applyFont="1" applyBorder="1"/>
    <xf numFmtId="0" fontId="43" fillId="0" borderId="30" xfId="0" applyFont="1" applyBorder="1"/>
    <xf numFmtId="0" fontId="43" fillId="0" borderId="31" xfId="0" applyFont="1" applyBorder="1"/>
    <xf numFmtId="0" fontId="18" fillId="0" borderId="0" xfId="0" applyFont="1" applyAlignment="1">
      <alignment horizontal="left"/>
    </xf>
    <xf numFmtId="0" fontId="0" fillId="0" borderId="6" xfId="0" applyBorder="1" applyAlignment="1">
      <alignment horizontal="center" wrapText="1"/>
    </xf>
    <xf numFmtId="0" fontId="0" fillId="0" borderId="8" xfId="0" applyBorder="1" applyAlignment="1">
      <alignment horizontal="center" wrapText="1"/>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0" fillId="0" borderId="30" xfId="0" applyBorder="1"/>
    <xf numFmtId="0" fontId="0" fillId="0" borderId="31" xfId="0" applyBorder="1"/>
    <xf numFmtId="0" fontId="18" fillId="0" borderId="29" xfId="0" applyFont="1"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29" xfId="0" applyFill="1" applyBorder="1" applyAlignment="1">
      <alignment wrapText="1"/>
    </xf>
    <xf numFmtId="0" fontId="0" fillId="0" borderId="30" xfId="0" applyFill="1" applyBorder="1"/>
    <xf numFmtId="0" fontId="0" fillId="0" borderId="31" xfId="0" applyFill="1" applyBorder="1"/>
    <xf numFmtId="0" fontId="0" fillId="0" borderId="65" xfId="0" applyFill="1" applyBorder="1"/>
    <xf numFmtId="0" fontId="0" fillId="0" borderId="58" xfId="0" applyFill="1" applyBorder="1" applyAlignment="1">
      <alignment horizontal="center"/>
    </xf>
    <xf numFmtId="0" fontId="0" fillId="17" borderId="50" xfId="0" applyFill="1" applyBorder="1"/>
    <xf numFmtId="0" fontId="0" fillId="17" borderId="60" xfId="0" applyFill="1" applyBorder="1" applyAlignment="1">
      <alignment horizontal="center"/>
    </xf>
    <xf numFmtId="0" fontId="31" fillId="17" borderId="26" xfId="0" applyFont="1" applyFill="1" applyBorder="1"/>
    <xf numFmtId="0" fontId="31" fillId="17" borderId="0" xfId="0" applyFont="1" applyFill="1" applyBorder="1" applyAlignment="1">
      <alignment horizontal="center"/>
    </xf>
    <xf numFmtId="0" fontId="31" fillId="17" borderId="5" xfId="0" applyFont="1" applyFill="1" applyBorder="1" applyAlignment="1">
      <alignment horizontal="center"/>
    </xf>
    <xf numFmtId="0" fontId="0" fillId="17" borderId="4" xfId="0" applyFill="1" applyBorder="1"/>
    <xf numFmtId="0" fontId="0" fillId="17" borderId="0" xfId="0" applyFill="1" applyBorder="1"/>
    <xf numFmtId="0" fontId="0" fillId="17" borderId="5" xfId="0" applyFill="1" applyBorder="1"/>
    <xf numFmtId="0" fontId="3" fillId="17" borderId="26" xfId="0" applyFont="1" applyFill="1" applyBorder="1" applyAlignment="1">
      <alignment horizontal="center"/>
    </xf>
    <xf numFmtId="49" fontId="41" fillId="8" borderId="32" xfId="0" applyNumberFormat="1" applyFont="1" applyFill="1" applyBorder="1" applyAlignment="1">
      <alignment vertical="top" readingOrder="1"/>
    </xf>
    <xf numFmtId="49" fontId="41" fillId="0" borderId="32" xfId="0" applyNumberFormat="1" applyFont="1" applyFill="1" applyBorder="1" applyAlignment="1">
      <alignment vertical="top" readingOrder="1"/>
    </xf>
    <xf numFmtId="165" fontId="9" fillId="2" borderId="13" xfId="2" applyNumberFormat="1" applyAlignment="1">
      <alignment vertical="top" readingOrder="1"/>
    </xf>
    <xf numFmtId="0" fontId="22" fillId="0" borderId="0" xfId="0" applyFont="1" applyFill="1"/>
    <xf numFmtId="3" fontId="0" fillId="0" borderId="0" xfId="0" applyNumberFormat="1" applyFont="1" applyFill="1" applyBorder="1"/>
    <xf numFmtId="165" fontId="41" fillId="0" borderId="22" xfId="18" applyNumberFormat="1" applyFont="1" applyFill="1" applyBorder="1" applyAlignment="1">
      <alignment vertical="top" readingOrder="1"/>
    </xf>
    <xf numFmtId="0" fontId="9" fillId="2" borderId="13" xfId="2" applyNumberFormat="1" applyBorder="1" applyAlignment="1">
      <alignment vertical="top" readingOrder="1"/>
    </xf>
    <xf numFmtId="3" fontId="0" fillId="0" borderId="5" xfId="0" applyNumberFormat="1" applyFont="1" applyFill="1" applyBorder="1"/>
    <xf numFmtId="0" fontId="0" fillId="0" borderId="7" xfId="0" applyFont="1" applyFill="1" applyBorder="1"/>
    <xf numFmtId="0" fontId="0" fillId="0" borderId="8" xfId="0" applyFont="1" applyFill="1" applyBorder="1"/>
    <xf numFmtId="0" fontId="18" fillId="0" borderId="26" xfId="0" applyFont="1" applyFill="1" applyBorder="1"/>
    <xf numFmtId="0" fontId="18" fillId="0" borderId="0" xfId="0" applyFont="1" applyFill="1" applyBorder="1" applyAlignment="1">
      <alignment horizontal="center"/>
    </xf>
    <xf numFmtId="0" fontId="18" fillId="0" borderId="5" xfId="0" applyFont="1" applyFill="1" applyBorder="1" applyAlignment="1">
      <alignment horizontal="center"/>
    </xf>
    <xf numFmtId="0" fontId="0" fillId="0" borderId="4" xfId="0" applyFont="1" applyFill="1" applyBorder="1"/>
    <xf numFmtId="0" fontId="0" fillId="0" borderId="5" xfId="0" applyFont="1" applyFill="1" applyBorder="1"/>
  </cellXfs>
  <cellStyles count="20">
    <cellStyle name="20% - Accent1" xfId="8" builtinId="30"/>
    <cellStyle name="20% - Accent2" xfId="14" builtinId="34"/>
    <cellStyle name="20% - Accent4" xfId="6" builtinId="42"/>
    <cellStyle name="20% - Accent5" xfId="17" builtinId="46"/>
    <cellStyle name="20% - Accent6" xfId="7" builtinId="50"/>
    <cellStyle name="Accent2" xfId="16" builtinId="33"/>
    <cellStyle name="Comma 2" xfId="19"/>
    <cellStyle name="Explanatory Text" xfId="15" builtinId="53"/>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Hyperlink" xfId="5" builtinId="8"/>
    <cellStyle name="Input" xfId="2" builtinId="20"/>
    <cellStyle name="Normal" xfId="0" builtinId="0"/>
    <cellStyle name="Normal 2" xfId="18"/>
    <cellStyle name="Note" xfId="4" builtinId="10"/>
    <cellStyle name="Output" xfId="3" builtinId="21"/>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 Home Heating</a:t>
            </a:r>
            <a:r>
              <a:rPr lang="en-US" sz="1400" baseline="0"/>
              <a:t> Fuel Type</a:t>
            </a:r>
            <a:endParaRPr lang="en-US" sz="1400"/>
          </a:p>
        </c:rich>
      </c:tx>
      <c:layout/>
    </c:title>
    <c:plotArea>
      <c:layout/>
      <c:pieChart>
        <c:varyColors val="1"/>
        <c:ser>
          <c:idx val="0"/>
          <c:order val="0"/>
          <c:tx>
            <c:strRef>
              <c:f>'3. Current Home Heating Detail'!$C$37</c:f>
              <c:strCache>
                <c:ptCount val="1"/>
                <c:pt idx="0">
                  <c:v>Owner</c:v>
                </c:pt>
              </c:strCache>
            </c:strRef>
          </c:tx>
          <c:cat>
            <c:strRef>
              <c:f>'3. Current Home Heating Detail'!$D$36:$L$36</c:f>
              <c:strCache>
                <c:ptCount val="9"/>
                <c:pt idx="0">
                  <c:v>Utility gas</c:v>
                </c:pt>
                <c:pt idx="1">
                  <c:v>Bottled, tank, or LP gas</c:v>
                </c:pt>
                <c:pt idx="2">
                  <c:v>Electricity</c:v>
                </c:pt>
                <c:pt idx="3">
                  <c:v>Fuel oil, kerosene, etc</c:v>
                </c:pt>
                <c:pt idx="4">
                  <c:v>Coal or coke</c:v>
                </c:pt>
                <c:pt idx="5">
                  <c:v>Wood</c:v>
                </c:pt>
                <c:pt idx="6">
                  <c:v>Solar</c:v>
                </c:pt>
                <c:pt idx="7">
                  <c:v>Other</c:v>
                </c:pt>
                <c:pt idx="8">
                  <c:v>No fuel</c:v>
                </c:pt>
              </c:strCache>
            </c:strRef>
          </c:cat>
          <c:val>
            <c:numRef>
              <c:f>'3. Current Home Heating Detail'!$D$37:$L$37</c:f>
              <c:numCache>
                <c:formatCode>0%</c:formatCode>
                <c:ptCount val="9"/>
                <c:pt idx="0">
                  <c:v>0</c:v>
                </c:pt>
                <c:pt idx="1">
                  <c:v>0.14499999999999996</c:v>
                </c:pt>
                <c:pt idx="2">
                  <c:v>8.9999999999999969E-2</c:v>
                </c:pt>
                <c:pt idx="3">
                  <c:v>0.39199999999999996</c:v>
                </c:pt>
                <c:pt idx="4">
                  <c:v>0</c:v>
                </c:pt>
                <c:pt idx="5">
                  <c:v>0.34299999999999997</c:v>
                </c:pt>
                <c:pt idx="6">
                  <c:v>1.1999999999999997E-2</c:v>
                </c:pt>
                <c:pt idx="7">
                  <c:v>5.9999999999999984E-3</c:v>
                </c:pt>
                <c:pt idx="8">
                  <c:v>1.1999999999999997E-2</c:v>
                </c:pt>
              </c:numCache>
            </c:numRef>
          </c:val>
        </c:ser>
        <c:firstSliceAng val="0"/>
      </c:pie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200"/>
              <a:t>TOWN's</a:t>
            </a:r>
            <a:r>
              <a:rPr lang="en-US" sz="1200" baseline="0"/>
              <a:t> Annual Energy Expenditures</a:t>
            </a:r>
            <a:endParaRPr lang="en-US" sz="1200"/>
          </a:p>
        </c:rich>
      </c:tx>
      <c:layout/>
    </c:title>
    <c:plotArea>
      <c:layout/>
      <c:pieChart>
        <c:varyColors val="1"/>
        <c:ser>
          <c:idx val="1"/>
          <c:order val="1"/>
          <c:dLbls>
            <c:dLblPos val="ctr"/>
            <c:showVal val="1"/>
            <c:showPercent val="1"/>
            <c:separator>
</c:separator>
            <c:showLeaderLines val="1"/>
          </c:dLbls>
          <c:cat>
            <c:strRef>
              <c:f>'DATA SUMMARY'!$C$46:$G$48</c:f>
              <c:strCache>
                <c:ptCount val="3"/>
                <c:pt idx="0">
                  <c:v>Electricity</c:v>
                </c:pt>
                <c:pt idx="1">
                  <c:v>Heating</c:v>
                </c:pt>
                <c:pt idx="2">
                  <c:v>Transportation</c:v>
                </c:pt>
              </c:strCache>
            </c:strRef>
          </c:cat>
          <c:val>
            <c:numRef>
              <c:f>'DATA SUMMARY'!$B$40:$B$42</c:f>
              <c:numCache>
                <c:formatCode>"$"#,##0</c:formatCode>
                <c:ptCount val="3"/>
                <c:pt idx="0">
                  <c:v>1550602.6085333873</c:v>
                </c:pt>
                <c:pt idx="1">
                  <c:v>603278.49063420726</c:v>
                </c:pt>
                <c:pt idx="2">
                  <c:v>388933.93857499992</c:v>
                </c:pt>
              </c:numCache>
            </c:numRef>
          </c:val>
        </c:ser>
        <c:ser>
          <c:idx val="0"/>
          <c:order val="0"/>
          <c:dLbls>
            <c:showPercent val="1"/>
            <c:showLeaderLines val="1"/>
          </c:dLbls>
          <c:cat>
            <c:strRef>
              <c:f>'DATA SUMMARY'!$C$46:$G$48</c:f>
              <c:strCache>
                <c:ptCount val="3"/>
                <c:pt idx="0">
                  <c:v>Electricity</c:v>
                </c:pt>
                <c:pt idx="1">
                  <c:v>Heating</c:v>
                </c:pt>
                <c:pt idx="2">
                  <c:v>Transportation</c:v>
                </c:pt>
              </c:strCache>
            </c:strRef>
          </c:cat>
          <c:val>
            <c:numRef>
              <c:f>'DATA SUMMARY'!$B$40:$B$42</c:f>
              <c:numCache>
                <c:formatCode>"$"#,##0</c:formatCode>
                <c:ptCount val="3"/>
                <c:pt idx="0">
                  <c:v>1550602.6085333873</c:v>
                </c:pt>
                <c:pt idx="1">
                  <c:v>603278.49063420726</c:v>
                </c:pt>
                <c:pt idx="2">
                  <c:v>388933.93857499992</c:v>
                </c:pt>
              </c:numCache>
            </c:numRef>
          </c:val>
        </c:ser>
        <c:dLbls>
          <c:showPercent val="1"/>
        </c:dLbls>
        <c:firstSliceAng val="0"/>
      </c:pieChart>
    </c:plotArea>
    <c:legend>
      <c:legendPos val="r"/>
      <c:layout/>
    </c:legend>
    <c:plotVisOnly val="1"/>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200"/>
              <a:t>TOWN's</a:t>
            </a:r>
            <a:r>
              <a:rPr lang="en-US" sz="1200" baseline="0"/>
              <a:t> Annual Energy Consumption (in million Btu)</a:t>
            </a:r>
            <a:endParaRPr lang="en-US" sz="1200"/>
          </a:p>
        </c:rich>
      </c:tx>
      <c:layout/>
    </c:title>
    <c:plotArea>
      <c:layout/>
      <c:pieChart>
        <c:varyColors val="1"/>
        <c:ser>
          <c:idx val="0"/>
          <c:order val="0"/>
          <c:dLbls>
            <c:dLblPos val="inEnd"/>
            <c:showVal val="1"/>
            <c:showPercent val="1"/>
            <c:separator>
</c:separator>
          </c:dLbls>
          <c:cat>
            <c:strRef>
              <c:f>'DATA SUMMARY'!$C$46:$G$48</c:f>
              <c:strCache>
                <c:ptCount val="3"/>
                <c:pt idx="0">
                  <c:v>Electricity</c:v>
                </c:pt>
                <c:pt idx="1">
                  <c:v>Heating</c:v>
                </c:pt>
                <c:pt idx="2">
                  <c:v>Transportation</c:v>
                </c:pt>
              </c:strCache>
            </c:strRef>
          </c:cat>
          <c:val>
            <c:numRef>
              <c:f>'DATA SUMMARY'!$B$46:$B$48</c:f>
              <c:numCache>
                <c:formatCode>#,##0</c:formatCode>
                <c:ptCount val="3"/>
                <c:pt idx="0">
                  <c:v>36870.348690841776</c:v>
                </c:pt>
                <c:pt idx="1">
                  <c:v>27033.414573927676</c:v>
                </c:pt>
                <c:pt idx="2">
                  <c:v>21919.323426135412</c:v>
                </c:pt>
              </c:numCache>
            </c:numRef>
          </c:val>
        </c:ser>
        <c:dLbls>
          <c:showPercent val="1"/>
        </c:dLbls>
        <c:firstSliceAng val="0"/>
      </c:pieChart>
    </c:plotArea>
    <c:legend>
      <c:legendPos val="r"/>
      <c:layout/>
      <c:txPr>
        <a:bodyPr/>
        <a:lstStyle/>
        <a:p>
          <a:pPr rtl="0">
            <a:defRPr/>
          </a:pPr>
          <a:endParaRPr lang="en-US"/>
        </a:p>
      </c:txPr>
    </c:legend>
    <c:plotVisOnly val="1"/>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Home Heating</a:t>
            </a:r>
            <a:r>
              <a:rPr lang="en-US" baseline="0"/>
              <a:t> Fuel Type</a:t>
            </a:r>
            <a:endParaRPr lang="en-US"/>
          </a:p>
        </c:rich>
      </c:tx>
      <c:layout/>
    </c:title>
    <c:plotArea>
      <c:layout/>
      <c:pieChart>
        <c:varyColors val="1"/>
        <c:ser>
          <c:idx val="0"/>
          <c:order val="0"/>
          <c:tx>
            <c:strRef>
              <c:f>'3. Current Home Heating Detail'!$C$37</c:f>
              <c:strCache>
                <c:ptCount val="1"/>
                <c:pt idx="0">
                  <c:v>Owner</c:v>
                </c:pt>
              </c:strCache>
            </c:strRef>
          </c:tx>
          <c:cat>
            <c:strRef>
              <c:f>'3. Current Home Heating Detail'!$D$36:$L$36</c:f>
              <c:strCache>
                <c:ptCount val="9"/>
                <c:pt idx="0">
                  <c:v>Utility gas</c:v>
                </c:pt>
                <c:pt idx="1">
                  <c:v>Bottled, tank, or LP gas</c:v>
                </c:pt>
                <c:pt idx="2">
                  <c:v>Electricity</c:v>
                </c:pt>
                <c:pt idx="3">
                  <c:v>Fuel oil, kerosene, etc</c:v>
                </c:pt>
                <c:pt idx="4">
                  <c:v>Coal or coke</c:v>
                </c:pt>
                <c:pt idx="5">
                  <c:v>Wood</c:v>
                </c:pt>
                <c:pt idx="6">
                  <c:v>Solar</c:v>
                </c:pt>
                <c:pt idx="7">
                  <c:v>Other</c:v>
                </c:pt>
                <c:pt idx="8">
                  <c:v>No fuel</c:v>
                </c:pt>
              </c:strCache>
            </c:strRef>
          </c:cat>
          <c:val>
            <c:numRef>
              <c:f>'3. Current Home Heating Detail'!$D$37:$L$37</c:f>
              <c:numCache>
                <c:formatCode>0%</c:formatCode>
                <c:ptCount val="9"/>
                <c:pt idx="0">
                  <c:v>0</c:v>
                </c:pt>
                <c:pt idx="1">
                  <c:v>0.14499999999999996</c:v>
                </c:pt>
                <c:pt idx="2">
                  <c:v>8.9999999999999969E-2</c:v>
                </c:pt>
                <c:pt idx="3">
                  <c:v>0.39199999999999996</c:v>
                </c:pt>
                <c:pt idx="4">
                  <c:v>0</c:v>
                </c:pt>
                <c:pt idx="5">
                  <c:v>0.34299999999999997</c:v>
                </c:pt>
                <c:pt idx="6">
                  <c:v>1.1999999999999997E-2</c:v>
                </c:pt>
                <c:pt idx="7">
                  <c:v>5.9999999999999984E-3</c:v>
                </c:pt>
                <c:pt idx="8">
                  <c:v>1.1999999999999997E-2</c:v>
                </c:pt>
              </c:numCache>
            </c:numRef>
          </c:val>
        </c:ser>
        <c:firstSliceAng val="0"/>
      </c:pieChart>
    </c:plotArea>
    <c:legend>
      <c:legendPos val="r"/>
      <c:layout/>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Electricity Use in TOWN,</a:t>
            </a:r>
            <a:r>
              <a:rPr lang="en-US" baseline="0"/>
              <a:t> per sector</a:t>
            </a:r>
            <a:endParaRPr lang="en-US"/>
          </a:p>
        </c:rich>
      </c:tx>
      <c:layout/>
    </c:title>
    <c:view3D>
      <c:perspective val="30"/>
    </c:view3D>
    <c:plotArea>
      <c:layout/>
      <c:area3DChart>
        <c:grouping val="standard"/>
        <c:ser>
          <c:idx val="0"/>
          <c:order val="0"/>
          <c:tx>
            <c:strRef>
              <c:f>'4. Current Electricity'!$E$12</c:f>
              <c:strCache>
                <c:ptCount val="1"/>
                <c:pt idx="0">
                  <c:v>C &amp; I</c:v>
                </c:pt>
              </c:strCache>
            </c:strRef>
          </c:tx>
          <c:cat>
            <c:strRef>
              <c:f>'4. Current Electricity'!$G$11:$N$11</c:f>
              <c:strCache>
                <c:ptCount val="8"/>
                <c:pt idx="0">
                  <c:v>2007 (MMBtu)</c:v>
                </c:pt>
                <c:pt idx="1">
                  <c:v>2008 (MMBtu)</c:v>
                </c:pt>
                <c:pt idx="2">
                  <c:v>2009 (MMBtu)</c:v>
                </c:pt>
                <c:pt idx="3">
                  <c:v>2010 (MMBtu)</c:v>
                </c:pt>
                <c:pt idx="4">
                  <c:v>2011 (MMBtu)</c:v>
                </c:pt>
                <c:pt idx="5">
                  <c:v>2012 (MMBtu)</c:v>
                </c:pt>
                <c:pt idx="6">
                  <c:v>2013 (MMBtu)</c:v>
                </c:pt>
                <c:pt idx="7">
                  <c:v>2014 (MMBtu)</c:v>
                </c:pt>
              </c:strCache>
            </c:strRef>
          </c:cat>
          <c:val>
            <c:numRef>
              <c:f>'4. Current Electricity'!$G$12:$N$12</c:f>
              <c:numCache>
                <c:formatCode>#,##0</c:formatCode>
                <c:ptCount val="8"/>
                <c:pt idx="0">
                  <c:v>12293.189340430614</c:v>
                </c:pt>
                <c:pt idx="1">
                  <c:v>12919.708602040468</c:v>
                </c:pt>
                <c:pt idx="2">
                  <c:v>12671.351554236189</c:v>
                </c:pt>
                <c:pt idx="3">
                  <c:v>13600.904220834613</c:v>
                </c:pt>
                <c:pt idx="4">
                  <c:v>13502.487460333708</c:v>
                </c:pt>
                <c:pt idx="5">
                  <c:v>13564.138260483844</c:v>
                </c:pt>
                <c:pt idx="6">
                  <c:v>13307.622752243491</c:v>
                </c:pt>
                <c:pt idx="7">
                  <c:v>13502.030371713243</c:v>
                </c:pt>
              </c:numCache>
            </c:numRef>
          </c:val>
        </c:ser>
        <c:ser>
          <c:idx val="1"/>
          <c:order val="1"/>
          <c:tx>
            <c:strRef>
              <c:f>'4. Current Electricity'!$E$13</c:f>
              <c:strCache>
                <c:ptCount val="1"/>
                <c:pt idx="0">
                  <c:v>R</c:v>
                </c:pt>
              </c:strCache>
            </c:strRef>
          </c:tx>
          <c:cat>
            <c:strRef>
              <c:f>'4. Current Electricity'!$G$11:$N$11</c:f>
              <c:strCache>
                <c:ptCount val="8"/>
                <c:pt idx="0">
                  <c:v>2007 (MMBtu)</c:v>
                </c:pt>
                <c:pt idx="1">
                  <c:v>2008 (MMBtu)</c:v>
                </c:pt>
                <c:pt idx="2">
                  <c:v>2009 (MMBtu)</c:v>
                </c:pt>
                <c:pt idx="3">
                  <c:v>2010 (MMBtu)</c:v>
                </c:pt>
                <c:pt idx="4">
                  <c:v>2011 (MMBtu)</c:v>
                </c:pt>
                <c:pt idx="5">
                  <c:v>2012 (MMBtu)</c:v>
                </c:pt>
                <c:pt idx="6">
                  <c:v>2013 (MMBtu)</c:v>
                </c:pt>
                <c:pt idx="7">
                  <c:v>2014 (MMBtu)</c:v>
                </c:pt>
              </c:strCache>
            </c:strRef>
          </c:cat>
          <c:val>
            <c:numRef>
              <c:f>'4. Current Electricity'!$G$13:$N$13</c:f>
              <c:numCache>
                <c:formatCode>#,##0</c:formatCode>
                <c:ptCount val="8"/>
                <c:pt idx="0">
                  <c:v>22706.74241648753</c:v>
                </c:pt>
                <c:pt idx="1">
                  <c:v>21929.801753847205</c:v>
                </c:pt>
                <c:pt idx="2">
                  <c:v>22033.981642610979</c:v>
                </c:pt>
                <c:pt idx="3">
                  <c:v>22461.732691848363</c:v>
                </c:pt>
                <c:pt idx="4">
                  <c:v>22913.112908178933</c:v>
                </c:pt>
                <c:pt idx="5">
                  <c:v>21621.807076807589</c:v>
                </c:pt>
                <c:pt idx="6">
                  <c:v>22646.801105537928</c:v>
                </c:pt>
                <c:pt idx="7">
                  <c:v>23368.318319128535</c:v>
                </c:pt>
              </c:numCache>
            </c:numRef>
          </c:val>
        </c:ser>
        <c:axId val="61779968"/>
        <c:axId val="61781504"/>
        <c:axId val="61752192"/>
      </c:area3DChart>
      <c:catAx>
        <c:axId val="61779968"/>
        <c:scaling>
          <c:orientation val="minMax"/>
        </c:scaling>
        <c:axPos val="b"/>
        <c:tickLblPos val="nextTo"/>
        <c:crossAx val="61781504"/>
        <c:crosses val="autoZero"/>
        <c:auto val="1"/>
        <c:lblAlgn val="ctr"/>
        <c:lblOffset val="100"/>
      </c:catAx>
      <c:valAx>
        <c:axId val="61781504"/>
        <c:scaling>
          <c:orientation val="minMax"/>
        </c:scaling>
        <c:axPos val="l"/>
        <c:majorGridlines/>
        <c:title>
          <c:tx>
            <c:rich>
              <a:bodyPr rot="-5400000" vert="horz"/>
              <a:lstStyle/>
              <a:p>
                <a:pPr>
                  <a:defRPr/>
                </a:pPr>
                <a:r>
                  <a:rPr lang="en-US"/>
                  <a:t>Million Btu</a:t>
                </a:r>
              </a:p>
            </c:rich>
          </c:tx>
          <c:layout/>
        </c:title>
        <c:numFmt formatCode="#,##0" sourceLinked="1"/>
        <c:tickLblPos val="nextTo"/>
        <c:crossAx val="61779968"/>
        <c:crosses val="autoZero"/>
        <c:crossBetween val="midCat"/>
      </c:valAx>
      <c:serAx>
        <c:axId val="61752192"/>
        <c:scaling>
          <c:orientation val="minMax"/>
        </c:scaling>
        <c:axPos val="b"/>
        <c:tickLblPos val="nextTo"/>
        <c:crossAx val="61781504"/>
        <c:crosses val="autoZero"/>
      </c:serAx>
    </c:plotArea>
    <c:legend>
      <c:legendPos val="r"/>
      <c:layout/>
    </c:legend>
    <c:plotVisOnly val="1"/>
    <c:dispBlanksAs val="zero"/>
  </c:chart>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14</xdr:col>
      <xdr:colOff>476250</xdr:colOff>
      <xdr:row>17</xdr:row>
      <xdr:rowOff>352426</xdr:rowOff>
    </xdr:from>
    <xdr:to>
      <xdr:col>23</xdr:col>
      <xdr:colOff>23813</xdr:colOff>
      <xdr:row>25</xdr:row>
      <xdr:rowOff>400050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464345</xdr:colOff>
      <xdr:row>0</xdr:row>
      <xdr:rowOff>202405</xdr:rowOff>
    </xdr:from>
    <xdr:to>
      <xdr:col>22</xdr:col>
      <xdr:colOff>571500</xdr:colOff>
      <xdr:row>9</xdr:row>
      <xdr:rowOff>35718</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464344</xdr:colOff>
      <xdr:row>9</xdr:row>
      <xdr:rowOff>178592</xdr:rowOff>
    </xdr:from>
    <xdr:to>
      <xdr:col>23</xdr:col>
      <xdr:colOff>0</xdr:colOff>
      <xdr:row>16</xdr:row>
      <xdr:rowOff>309562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830036</xdr:colOff>
      <xdr:row>43</xdr:row>
      <xdr:rowOff>40821</xdr:rowOff>
    </xdr:from>
    <xdr:to>
      <xdr:col>9</xdr:col>
      <xdr:colOff>816429</xdr:colOff>
      <xdr:row>51</xdr:row>
      <xdr:rowOff>0</xdr:rowOff>
    </xdr:to>
    <xdr:sp macro="" textlink="">
      <xdr:nvSpPr>
        <xdr:cNvPr id="4" name="TextBox 3"/>
        <xdr:cNvSpPr txBox="1"/>
      </xdr:nvSpPr>
      <xdr:spPr>
        <a:xfrm>
          <a:off x="5252357" y="14301107"/>
          <a:ext cx="4231822" cy="1483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http://vtrans.vermont.gov/sites/aot/files/MI_VMT_2015.pdf</a:t>
          </a:r>
        </a:p>
        <a:p>
          <a:endParaRPr lang="en-US" sz="1100"/>
        </a:p>
        <a:p>
          <a:r>
            <a:rPr lang="en-US" sz="1100"/>
            <a:t>http://vtrans.vermont.gov/sites/aot/files/2015_Extent_and_Travel_Report.pdf</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466725</xdr:colOff>
      <xdr:row>39</xdr:row>
      <xdr:rowOff>9525</xdr:rowOff>
    </xdr:from>
    <xdr:to>
      <xdr:col>6</xdr:col>
      <xdr:colOff>1000125</xdr:colOff>
      <xdr:row>57</xdr:row>
      <xdr:rowOff>180975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19051</xdr:colOff>
      <xdr:row>31</xdr:row>
      <xdr:rowOff>66674</xdr:rowOff>
    </xdr:from>
    <xdr:to>
      <xdr:col>9</xdr:col>
      <xdr:colOff>485776</xdr:colOff>
      <xdr:row>52</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file:///C:\C:\Users\anne.margolis\Desktop\transfer\Drive%20Electric"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34" enableFormatConditionsCalculation="0"/>
  <dimension ref="A2:W49"/>
  <sheetViews>
    <sheetView topLeftCell="A7" workbookViewId="0"/>
  </sheetViews>
  <sheetFormatPr defaultColWidth="8.85546875" defaultRowHeight="15"/>
  <cols>
    <col min="1" max="1" width="16.85546875" customWidth="1"/>
    <col min="7" max="7" width="13" customWidth="1"/>
    <col min="11" max="11" width="11.85546875" customWidth="1"/>
  </cols>
  <sheetData>
    <row r="2" spans="1:23" ht="32.25" customHeight="1">
      <c r="A2" s="359" t="s">
        <v>25</v>
      </c>
      <c r="B2" s="360"/>
      <c r="C2" s="360"/>
      <c r="D2" s="360"/>
      <c r="E2" s="361"/>
      <c r="G2" s="359" t="s">
        <v>30</v>
      </c>
      <c r="H2" s="360"/>
      <c r="I2" s="360"/>
      <c r="J2" s="360"/>
      <c r="K2" s="361"/>
      <c r="M2" s="359" t="s">
        <v>31</v>
      </c>
      <c r="N2" s="360"/>
      <c r="O2" s="360"/>
      <c r="P2" s="360"/>
      <c r="Q2" s="361"/>
      <c r="R2" s="10"/>
      <c r="S2" s="359" t="s">
        <v>32</v>
      </c>
      <c r="T2" s="360"/>
      <c r="U2" s="360"/>
      <c r="V2" s="360"/>
      <c r="W2" s="361"/>
    </row>
    <row r="3" spans="1:23">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c r="A12" s="1" t="s">
        <v>10</v>
      </c>
      <c r="B12" s="4">
        <v>10195</v>
      </c>
      <c r="C12" s="4">
        <v>8172</v>
      </c>
      <c r="D12" s="4">
        <v>5478</v>
      </c>
      <c r="E12" s="5">
        <v>1713</v>
      </c>
      <c r="G12" s="1" t="s">
        <v>10</v>
      </c>
      <c r="H12" s="4">
        <v>9711</v>
      </c>
      <c r="I12" s="4">
        <v>6995</v>
      </c>
      <c r="J12" s="4">
        <v>4342</v>
      </c>
      <c r="K12" s="5" t="s">
        <v>2</v>
      </c>
    </row>
    <row r="13" spans="1:23">
      <c r="A13" s="1" t="s">
        <v>11</v>
      </c>
      <c r="B13" s="4">
        <v>698</v>
      </c>
      <c r="C13" s="4">
        <v>886</v>
      </c>
      <c r="D13" s="4">
        <v>1064</v>
      </c>
      <c r="E13" s="5">
        <v>1342</v>
      </c>
      <c r="G13" s="1" t="s">
        <v>11</v>
      </c>
      <c r="H13" s="4">
        <v>904</v>
      </c>
      <c r="I13" s="4">
        <v>1467</v>
      </c>
      <c r="J13" s="4">
        <v>1890</v>
      </c>
      <c r="K13" s="5">
        <v>2269</v>
      </c>
    </row>
    <row r="14" spans="1:23">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c r="A22" s="359" t="s">
        <v>33</v>
      </c>
      <c r="B22" s="360"/>
      <c r="C22" s="360"/>
      <c r="D22" s="360"/>
      <c r="E22" s="361"/>
      <c r="G22" s="359" t="s">
        <v>34</v>
      </c>
      <c r="H22" s="360"/>
      <c r="I22" s="360"/>
      <c r="J22" s="360"/>
      <c r="K22" s="361"/>
      <c r="M22" s="363" t="s">
        <v>35</v>
      </c>
      <c r="N22" s="364"/>
      <c r="O22" s="364"/>
      <c r="P22" s="364"/>
      <c r="Q22" s="365"/>
      <c r="S22" s="359" t="s">
        <v>36</v>
      </c>
      <c r="T22" s="360"/>
      <c r="U22" s="360"/>
      <c r="V22" s="360"/>
      <c r="W22" s="361"/>
    </row>
    <row r="23" spans="1:23">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c r="A29" s="6" t="s">
        <v>24</v>
      </c>
      <c r="B29" s="18" t="s">
        <v>2</v>
      </c>
      <c r="C29" s="18" t="s">
        <v>2</v>
      </c>
      <c r="D29" s="18" t="s">
        <v>2</v>
      </c>
      <c r="E29" s="19" t="s">
        <v>2</v>
      </c>
      <c r="G29" s="1" t="s">
        <v>24</v>
      </c>
      <c r="H29" s="4" t="s">
        <v>2</v>
      </c>
      <c r="I29" s="4" t="s">
        <v>2</v>
      </c>
      <c r="J29" s="4" t="s">
        <v>2</v>
      </c>
      <c r="K29" s="5" t="s">
        <v>2</v>
      </c>
    </row>
    <row r="30" spans="1:23">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row r="33" spans="1:11" ht="15" hidden="1" customHeight="1">
      <c r="A33" t="s">
        <v>37</v>
      </c>
      <c r="G33" t="s">
        <v>38</v>
      </c>
    </row>
    <row r="34" spans="1:11" ht="15" hidden="1" customHeight="1">
      <c r="A34" t="s">
        <v>0</v>
      </c>
      <c r="B34">
        <v>2015</v>
      </c>
      <c r="C34">
        <v>2025</v>
      </c>
      <c r="D34">
        <v>2035</v>
      </c>
      <c r="E34">
        <v>2050</v>
      </c>
      <c r="G34" t="s">
        <v>0</v>
      </c>
      <c r="H34">
        <v>2015</v>
      </c>
      <c r="I34">
        <v>2025</v>
      </c>
      <c r="J34">
        <v>2035</v>
      </c>
      <c r="K34">
        <v>2050</v>
      </c>
    </row>
    <row r="35" spans="1:11" ht="15" hidden="1" customHeight="1">
      <c r="A35" t="s">
        <v>41</v>
      </c>
      <c r="B35">
        <v>0.3</v>
      </c>
      <c r="C35">
        <v>0.4</v>
      </c>
      <c r="D35">
        <v>0.5</v>
      </c>
      <c r="E35">
        <v>0.6</v>
      </c>
      <c r="G35" t="s">
        <v>41</v>
      </c>
      <c r="H35">
        <v>0.3</v>
      </c>
      <c r="I35">
        <v>0.4</v>
      </c>
      <c r="J35">
        <v>0.6</v>
      </c>
      <c r="K35">
        <v>0.7</v>
      </c>
    </row>
    <row r="36" spans="1:11" ht="15" hidden="1" customHeight="1">
      <c r="A36" t="s">
        <v>26</v>
      </c>
      <c r="B36">
        <v>0.9</v>
      </c>
      <c r="C36">
        <v>1</v>
      </c>
      <c r="D36">
        <v>1.2</v>
      </c>
      <c r="E36">
        <v>1.5</v>
      </c>
      <c r="G36" t="s">
        <v>26</v>
      </c>
      <c r="H36">
        <v>0.9</v>
      </c>
      <c r="I36">
        <v>0.9</v>
      </c>
      <c r="J36">
        <v>1</v>
      </c>
      <c r="K36">
        <v>1.1000000000000001</v>
      </c>
    </row>
    <row r="37" spans="1:11" ht="15" hidden="1" customHeight="1">
      <c r="A37" t="s">
        <v>39</v>
      </c>
      <c r="B37">
        <v>0.4</v>
      </c>
      <c r="C37">
        <v>0.4</v>
      </c>
      <c r="D37">
        <v>0.4</v>
      </c>
      <c r="E37">
        <v>0.3</v>
      </c>
      <c r="G37" t="s">
        <v>39</v>
      </c>
      <c r="H37">
        <v>0.5</v>
      </c>
      <c r="I37">
        <v>0.4</v>
      </c>
      <c r="J37">
        <v>0.4</v>
      </c>
      <c r="K37">
        <v>0.4</v>
      </c>
    </row>
    <row r="38" spans="1:11" ht="15" hidden="1" customHeight="1">
      <c r="A38" t="s">
        <v>27</v>
      </c>
      <c r="B38">
        <v>0.1</v>
      </c>
      <c r="C38">
        <v>0.1</v>
      </c>
      <c r="D38">
        <v>0.1</v>
      </c>
      <c r="E38">
        <v>0.1</v>
      </c>
      <c r="G38" t="s">
        <v>27</v>
      </c>
      <c r="H38">
        <v>0.1</v>
      </c>
      <c r="I38">
        <v>0.1</v>
      </c>
      <c r="J38">
        <v>0.1</v>
      </c>
      <c r="K38">
        <v>0.1</v>
      </c>
    </row>
    <row r="39" spans="1:11" ht="15" hidden="1" customHeight="1">
      <c r="A39" t="s">
        <v>28</v>
      </c>
      <c r="B39">
        <v>1.8</v>
      </c>
      <c r="C39">
        <v>1.6</v>
      </c>
      <c r="D39">
        <v>1.4</v>
      </c>
      <c r="E39">
        <v>1.3</v>
      </c>
      <c r="G39" t="s">
        <v>28</v>
      </c>
      <c r="H39">
        <v>1.7</v>
      </c>
      <c r="I39">
        <v>1.3</v>
      </c>
      <c r="J39">
        <v>0.9</v>
      </c>
      <c r="K39">
        <v>0.6</v>
      </c>
    </row>
    <row r="40" spans="1:11" ht="15" hidden="1" customHeight="1">
      <c r="A40" t="s">
        <v>29</v>
      </c>
      <c r="B40">
        <v>2.6</v>
      </c>
      <c r="C40">
        <v>3.6</v>
      </c>
      <c r="D40">
        <v>4.5999999999999996</v>
      </c>
      <c r="E40">
        <v>6.1</v>
      </c>
      <c r="G40" t="s">
        <v>29</v>
      </c>
      <c r="H40">
        <v>2.1</v>
      </c>
      <c r="I40">
        <v>2.2000000000000002</v>
      </c>
      <c r="J40">
        <v>2.2000000000000002</v>
      </c>
      <c r="K40">
        <v>2.2000000000000002</v>
      </c>
    </row>
    <row r="41" spans="1:11" ht="15" hidden="1" customHeight="1">
      <c r="A41" t="s">
        <v>40</v>
      </c>
      <c r="B41">
        <v>0.2</v>
      </c>
      <c r="C41">
        <v>0.2</v>
      </c>
      <c r="D41">
        <v>0.2</v>
      </c>
      <c r="E41">
        <v>0.2</v>
      </c>
      <c r="G41" t="s">
        <v>40</v>
      </c>
      <c r="H41">
        <v>0.2</v>
      </c>
      <c r="I41">
        <v>0.2</v>
      </c>
      <c r="J41">
        <v>0.2</v>
      </c>
      <c r="K41">
        <v>0.2</v>
      </c>
    </row>
    <row r="42" spans="1:11" ht="15" hidden="1" customHeight="1">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row r="44" spans="1:11" ht="15" hidden="1" customHeight="1"/>
    <row r="45" spans="1:11" ht="16.5" hidden="1" customHeight="1"/>
    <row r="46" spans="1:11" ht="0.75" customHeight="1"/>
    <row r="47" spans="1:11" ht="1.5" customHeight="1"/>
    <row r="48" spans="1:11" ht="41.25" customHeight="1">
      <c r="A48" s="362" t="s">
        <v>42</v>
      </c>
      <c r="B48" s="17">
        <v>2015</v>
      </c>
      <c r="C48" s="17">
        <v>2025</v>
      </c>
      <c r="D48" s="17">
        <v>2035</v>
      </c>
      <c r="E48" s="17">
        <v>2050</v>
      </c>
    </row>
    <row r="49" spans="1:5" ht="74.25" customHeight="1">
      <c r="A49" s="362"/>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B1:S34"/>
  <sheetViews>
    <sheetView topLeftCell="A10" zoomScale="90" zoomScaleNormal="90" workbookViewId="0">
      <selection activeCell="E31" sqref="E31:R31"/>
    </sheetView>
  </sheetViews>
  <sheetFormatPr defaultColWidth="11.42578125" defaultRowHeight="15"/>
  <cols>
    <col min="1" max="1" width="2.28515625" style="119" customWidth="1"/>
    <col min="2" max="2" width="19.28515625" style="119" customWidth="1"/>
    <col min="3" max="3" width="13" style="119" customWidth="1"/>
    <col min="4" max="4" width="15.28515625" style="119" customWidth="1"/>
    <col min="5" max="18" width="11.42578125" style="119"/>
    <col min="19" max="19" width="9.7109375" style="272" customWidth="1"/>
    <col min="20" max="16384" width="11.42578125" style="119"/>
  </cols>
  <sheetData>
    <row r="1" spans="2:19" ht="15.75" thickBot="1"/>
    <row r="2" spans="2:19" ht="106.5" customHeight="1" thickBot="1">
      <c r="B2" s="551" t="s">
        <v>360</v>
      </c>
      <c r="C2" s="552"/>
      <c r="D2" s="552"/>
      <c r="E2" s="552"/>
      <c r="F2" s="552"/>
      <c r="G2" s="552"/>
      <c r="H2" s="552"/>
      <c r="I2" s="552"/>
      <c r="J2" s="552"/>
      <c r="K2" s="552"/>
      <c r="L2" s="552"/>
      <c r="M2" s="552"/>
      <c r="N2" s="552"/>
      <c r="O2" s="552"/>
      <c r="P2" s="552"/>
      <c r="Q2" s="552"/>
      <c r="R2" s="552"/>
      <c r="S2" s="553"/>
    </row>
    <row r="3" spans="2:19" ht="15.75" thickBot="1"/>
    <row r="4" spans="2:19" ht="47.25" customHeight="1" thickBot="1">
      <c r="E4" s="548" t="s">
        <v>208</v>
      </c>
      <c r="F4" s="549"/>
      <c r="G4" s="549"/>
      <c r="H4" s="549"/>
      <c r="I4" s="549"/>
      <c r="J4" s="549"/>
      <c r="K4" s="549"/>
      <c r="L4" s="549"/>
      <c r="M4" s="549"/>
      <c r="N4" s="549"/>
      <c r="O4" s="549"/>
      <c r="P4" s="549"/>
      <c r="Q4" s="549"/>
      <c r="R4" s="550"/>
      <c r="S4" s="349"/>
    </row>
    <row r="5" spans="2:19" ht="66.75" customHeight="1">
      <c r="B5" s="248" t="s">
        <v>130</v>
      </c>
      <c r="C5" s="249" t="s">
        <v>206</v>
      </c>
      <c r="D5" s="250" t="s">
        <v>205</v>
      </c>
      <c r="E5" s="251" t="s">
        <v>46</v>
      </c>
      <c r="F5" s="252" t="s">
        <v>47</v>
      </c>
      <c r="G5" s="252" t="s">
        <v>48</v>
      </c>
      <c r="H5" s="252" t="s">
        <v>44</v>
      </c>
      <c r="I5" s="252" t="s">
        <v>49</v>
      </c>
      <c r="J5" s="252" t="s">
        <v>50</v>
      </c>
      <c r="K5" s="252" t="s">
        <v>51</v>
      </c>
      <c r="L5" s="252" t="s">
        <v>52</v>
      </c>
      <c r="M5" s="252" t="s">
        <v>53</v>
      </c>
      <c r="N5" s="252" t="s">
        <v>54</v>
      </c>
      <c r="O5" s="252" t="s">
        <v>55</v>
      </c>
      <c r="P5" s="252" t="s">
        <v>56</v>
      </c>
      <c r="Q5" s="252" t="s">
        <v>57</v>
      </c>
      <c r="R5" s="253" t="s">
        <v>45</v>
      </c>
      <c r="S5" s="273" t="s">
        <v>207</v>
      </c>
    </row>
    <row r="6" spans="2:19" ht="23.25" customHeight="1">
      <c r="B6" s="254" t="s">
        <v>131</v>
      </c>
      <c r="C6" s="255">
        <v>5</v>
      </c>
      <c r="D6" s="256" t="s">
        <v>191</v>
      </c>
      <c r="E6" s="257">
        <v>0</v>
      </c>
      <c r="F6" s="258">
        <v>0</v>
      </c>
      <c r="G6" s="258">
        <v>0</v>
      </c>
      <c r="H6" s="258">
        <v>0</v>
      </c>
      <c r="I6" s="258">
        <v>0</v>
      </c>
      <c r="J6" s="258">
        <v>0</v>
      </c>
      <c r="K6" s="258">
        <v>0</v>
      </c>
      <c r="L6" s="258">
        <v>0</v>
      </c>
      <c r="M6" s="258">
        <v>1</v>
      </c>
      <c r="N6" s="258">
        <v>0</v>
      </c>
      <c r="O6" s="258">
        <v>0</v>
      </c>
      <c r="P6" s="258">
        <v>0</v>
      </c>
      <c r="Q6" s="258">
        <v>0</v>
      </c>
      <c r="R6" s="259">
        <v>1</v>
      </c>
      <c r="S6" s="350">
        <f>SUM(E6:R6)</f>
        <v>2</v>
      </c>
    </row>
    <row r="7" spans="2:19" ht="23.25" customHeight="1">
      <c r="B7" s="254" t="s">
        <v>132</v>
      </c>
      <c r="C7" s="255">
        <v>715</v>
      </c>
      <c r="D7" s="256">
        <v>10920</v>
      </c>
      <c r="E7" s="118">
        <v>41</v>
      </c>
      <c r="F7" s="111">
        <v>109</v>
      </c>
      <c r="G7" s="271">
        <v>9</v>
      </c>
      <c r="H7" s="111">
        <v>18</v>
      </c>
      <c r="I7" s="111">
        <v>27</v>
      </c>
      <c r="J7" s="111">
        <v>53</v>
      </c>
      <c r="K7" s="111">
        <v>69</v>
      </c>
      <c r="L7" s="111">
        <v>2</v>
      </c>
      <c r="M7" s="111">
        <v>32</v>
      </c>
      <c r="N7" s="111">
        <v>26</v>
      </c>
      <c r="O7" s="111">
        <v>97</v>
      </c>
      <c r="P7" s="111">
        <v>14</v>
      </c>
      <c r="Q7" s="111">
        <v>72</v>
      </c>
      <c r="R7" s="112">
        <v>62</v>
      </c>
      <c r="S7" s="350">
        <f t="shared" ref="S7:S32" si="0">SUM(E7:R7)</f>
        <v>631</v>
      </c>
    </row>
    <row r="8" spans="2:19" ht="23.25" customHeight="1">
      <c r="B8" s="254" t="s">
        <v>133</v>
      </c>
      <c r="C8" s="255">
        <v>10</v>
      </c>
      <c r="D8" s="256">
        <v>67</v>
      </c>
      <c r="E8" s="118">
        <v>1</v>
      </c>
      <c r="F8" s="111">
        <v>1</v>
      </c>
      <c r="G8" s="111">
        <v>1</v>
      </c>
      <c r="H8" s="111">
        <v>0</v>
      </c>
      <c r="I8" s="111">
        <v>0</v>
      </c>
      <c r="J8" s="111">
        <v>0</v>
      </c>
      <c r="K8" s="111">
        <v>3</v>
      </c>
      <c r="L8" s="111">
        <v>0</v>
      </c>
      <c r="M8" s="111">
        <v>1</v>
      </c>
      <c r="N8" s="111">
        <v>0</v>
      </c>
      <c r="O8" s="111">
        <v>1</v>
      </c>
      <c r="P8" s="111">
        <v>1</v>
      </c>
      <c r="Q8" s="111">
        <v>0</v>
      </c>
      <c r="R8" s="112">
        <v>0</v>
      </c>
      <c r="S8" s="350">
        <f t="shared" si="0"/>
        <v>9</v>
      </c>
    </row>
    <row r="9" spans="2:19" ht="23.25" customHeight="1">
      <c r="B9" s="254" t="s">
        <v>134</v>
      </c>
      <c r="C9" s="255">
        <v>109</v>
      </c>
      <c r="D9" s="256">
        <v>1116</v>
      </c>
      <c r="E9" s="118">
        <v>4</v>
      </c>
      <c r="F9" s="111">
        <v>9</v>
      </c>
      <c r="G9" s="111">
        <v>0</v>
      </c>
      <c r="H9" s="111">
        <v>0</v>
      </c>
      <c r="I9" s="111">
        <v>6</v>
      </c>
      <c r="J9" s="111">
        <v>14</v>
      </c>
      <c r="K9" s="111">
        <v>10</v>
      </c>
      <c r="L9" s="111">
        <v>0</v>
      </c>
      <c r="M9" s="111">
        <v>9</v>
      </c>
      <c r="N9" s="111">
        <v>2</v>
      </c>
      <c r="O9" s="111">
        <v>2</v>
      </c>
      <c r="P9" s="111">
        <v>0</v>
      </c>
      <c r="Q9" s="111">
        <v>26</v>
      </c>
      <c r="R9" s="112">
        <v>6</v>
      </c>
      <c r="S9" s="350">
        <f t="shared" si="0"/>
        <v>88</v>
      </c>
    </row>
    <row r="10" spans="2:19" ht="23.25" customHeight="1">
      <c r="B10" s="254" t="s">
        <v>135</v>
      </c>
      <c r="C10" s="255">
        <v>53</v>
      </c>
      <c r="D10" s="256">
        <v>280</v>
      </c>
      <c r="E10" s="118">
        <v>5</v>
      </c>
      <c r="F10" s="111">
        <v>2</v>
      </c>
      <c r="G10" s="111">
        <v>0</v>
      </c>
      <c r="H10" s="111">
        <v>5</v>
      </c>
      <c r="I10" s="111">
        <v>0</v>
      </c>
      <c r="J10" s="111">
        <v>2</v>
      </c>
      <c r="K10" s="111">
        <v>4</v>
      </c>
      <c r="L10" s="111">
        <v>0</v>
      </c>
      <c r="M10" s="111">
        <v>4</v>
      </c>
      <c r="N10" s="111">
        <v>1</v>
      </c>
      <c r="O10" s="111">
        <v>1</v>
      </c>
      <c r="P10" s="111">
        <v>0</v>
      </c>
      <c r="Q10" s="111">
        <v>2</v>
      </c>
      <c r="R10" s="112">
        <v>4</v>
      </c>
      <c r="S10" s="350">
        <f t="shared" si="0"/>
        <v>30</v>
      </c>
    </row>
    <row r="11" spans="2:19" ht="23.25" customHeight="1">
      <c r="B11" s="254" t="s">
        <v>136</v>
      </c>
      <c r="C11" s="255">
        <v>25</v>
      </c>
      <c r="D11" s="256">
        <v>147</v>
      </c>
      <c r="E11" s="118">
        <v>1</v>
      </c>
      <c r="F11" s="111">
        <v>2</v>
      </c>
      <c r="G11" s="111">
        <v>0</v>
      </c>
      <c r="H11" s="111">
        <v>0</v>
      </c>
      <c r="I11" s="111">
        <v>1</v>
      </c>
      <c r="J11" s="111">
        <v>0</v>
      </c>
      <c r="K11" s="111">
        <v>2</v>
      </c>
      <c r="L11" s="111">
        <v>0</v>
      </c>
      <c r="M11" s="111">
        <v>4</v>
      </c>
      <c r="N11" s="111">
        <v>0</v>
      </c>
      <c r="O11" s="111">
        <v>0</v>
      </c>
      <c r="P11" s="111">
        <v>1</v>
      </c>
      <c r="Q11" s="111">
        <v>2</v>
      </c>
      <c r="R11" s="112">
        <v>4</v>
      </c>
      <c r="S11" s="350">
        <f t="shared" si="0"/>
        <v>17</v>
      </c>
    </row>
    <row r="12" spans="2:19" ht="23.25" customHeight="1">
      <c r="B12" s="254" t="s">
        <v>137</v>
      </c>
      <c r="C12" s="255">
        <v>49</v>
      </c>
      <c r="D12" s="256">
        <v>221</v>
      </c>
      <c r="E12" s="118">
        <v>4</v>
      </c>
      <c r="F12" s="111">
        <v>1</v>
      </c>
      <c r="G12" s="111">
        <v>1</v>
      </c>
      <c r="H12" s="111">
        <v>1</v>
      </c>
      <c r="I12" s="111">
        <v>0</v>
      </c>
      <c r="J12" s="111">
        <v>1</v>
      </c>
      <c r="K12" s="111">
        <v>6</v>
      </c>
      <c r="L12" s="111">
        <v>0</v>
      </c>
      <c r="M12" s="111">
        <v>8</v>
      </c>
      <c r="N12" s="111">
        <v>1</v>
      </c>
      <c r="O12" s="111">
        <v>2</v>
      </c>
      <c r="P12" s="111">
        <v>0</v>
      </c>
      <c r="Q12" s="111">
        <v>0</v>
      </c>
      <c r="R12" s="112">
        <v>7</v>
      </c>
      <c r="S12" s="350">
        <f t="shared" si="0"/>
        <v>32</v>
      </c>
    </row>
    <row r="13" spans="2:19" ht="23.25" customHeight="1">
      <c r="B13" s="254" t="s">
        <v>138</v>
      </c>
      <c r="C13" s="255">
        <v>14</v>
      </c>
      <c r="D13" s="256">
        <v>51</v>
      </c>
      <c r="E13" s="118">
        <v>1</v>
      </c>
      <c r="F13" s="111">
        <v>1</v>
      </c>
      <c r="G13" s="111">
        <v>1</v>
      </c>
      <c r="H13" s="111">
        <v>0</v>
      </c>
      <c r="I13" s="111">
        <v>0</v>
      </c>
      <c r="J13" s="111">
        <v>0</v>
      </c>
      <c r="K13" s="111">
        <v>3</v>
      </c>
      <c r="L13" s="111">
        <v>0</v>
      </c>
      <c r="M13" s="111">
        <v>1</v>
      </c>
      <c r="N13" s="111">
        <v>0</v>
      </c>
      <c r="O13" s="111">
        <v>1</v>
      </c>
      <c r="P13" s="111">
        <v>0</v>
      </c>
      <c r="Q13" s="111">
        <v>0</v>
      </c>
      <c r="R13" s="112">
        <v>0</v>
      </c>
      <c r="S13" s="350">
        <f t="shared" si="0"/>
        <v>8</v>
      </c>
    </row>
    <row r="14" spans="2:19" ht="23.25" customHeight="1">
      <c r="B14" s="254" t="s">
        <v>139</v>
      </c>
      <c r="C14" s="255">
        <v>34</v>
      </c>
      <c r="D14" s="256">
        <v>170</v>
      </c>
      <c r="E14" s="118">
        <v>1</v>
      </c>
      <c r="F14" s="111">
        <v>6</v>
      </c>
      <c r="G14" s="111">
        <v>0</v>
      </c>
      <c r="H14" s="111">
        <v>0</v>
      </c>
      <c r="I14" s="111">
        <v>0</v>
      </c>
      <c r="J14" s="111">
        <v>1</v>
      </c>
      <c r="K14" s="111">
        <v>5</v>
      </c>
      <c r="L14" s="111">
        <v>1</v>
      </c>
      <c r="M14" s="111">
        <v>4</v>
      </c>
      <c r="N14" s="111">
        <v>0</v>
      </c>
      <c r="O14" s="111">
        <v>0</v>
      </c>
      <c r="P14" s="111">
        <v>0</v>
      </c>
      <c r="Q14" s="111">
        <v>4</v>
      </c>
      <c r="R14" s="112">
        <v>1</v>
      </c>
      <c r="S14" s="350">
        <f t="shared" si="0"/>
        <v>23</v>
      </c>
    </row>
    <row r="15" spans="2:19" ht="23.25" customHeight="1">
      <c r="B15" s="254" t="s">
        <v>140</v>
      </c>
      <c r="C15" s="255">
        <v>105</v>
      </c>
      <c r="D15" s="256">
        <v>569</v>
      </c>
      <c r="E15" s="118">
        <v>7</v>
      </c>
      <c r="F15" s="111">
        <v>12</v>
      </c>
      <c r="G15" s="111">
        <v>4</v>
      </c>
      <c r="H15" s="111">
        <v>1</v>
      </c>
      <c r="I15" s="111">
        <v>3</v>
      </c>
      <c r="J15" s="111">
        <v>6</v>
      </c>
      <c r="K15" s="111">
        <v>9</v>
      </c>
      <c r="L15" s="111">
        <v>0</v>
      </c>
      <c r="M15" s="111">
        <v>12</v>
      </c>
      <c r="N15" s="111">
        <v>2</v>
      </c>
      <c r="O15" s="111">
        <v>3</v>
      </c>
      <c r="P15" s="111">
        <v>3</v>
      </c>
      <c r="Q15" s="111">
        <v>8</v>
      </c>
      <c r="R15" s="112">
        <v>5</v>
      </c>
      <c r="S15" s="350">
        <f t="shared" si="0"/>
        <v>75</v>
      </c>
    </row>
    <row r="16" spans="2:19" ht="23.25" customHeight="1">
      <c r="B16" s="254" t="s">
        <v>141</v>
      </c>
      <c r="C16" s="255">
        <v>27</v>
      </c>
      <c r="D16" s="256">
        <v>292</v>
      </c>
      <c r="E16" s="118">
        <v>1</v>
      </c>
      <c r="F16" s="111">
        <v>3</v>
      </c>
      <c r="G16" s="111">
        <v>0</v>
      </c>
      <c r="H16" s="111">
        <v>1</v>
      </c>
      <c r="I16" s="111">
        <v>0</v>
      </c>
      <c r="J16" s="111">
        <v>0</v>
      </c>
      <c r="K16" s="111">
        <v>1</v>
      </c>
      <c r="L16" s="111">
        <v>0</v>
      </c>
      <c r="M16" s="111">
        <v>2</v>
      </c>
      <c r="N16" s="111">
        <v>2</v>
      </c>
      <c r="O16" s="111">
        <v>1</v>
      </c>
      <c r="P16" s="111">
        <v>0</v>
      </c>
      <c r="Q16" s="111">
        <v>2</v>
      </c>
      <c r="R16" s="112">
        <v>3</v>
      </c>
      <c r="S16" s="350">
        <f t="shared" si="0"/>
        <v>16</v>
      </c>
    </row>
    <row r="17" spans="2:19" ht="23.25" customHeight="1">
      <c r="B17" s="254" t="s">
        <v>142</v>
      </c>
      <c r="C17" s="255">
        <v>48</v>
      </c>
      <c r="D17" s="256">
        <v>386</v>
      </c>
      <c r="E17" s="118">
        <v>1</v>
      </c>
      <c r="F17" s="111">
        <v>3</v>
      </c>
      <c r="G17" s="111">
        <v>1</v>
      </c>
      <c r="H17" s="111">
        <v>0</v>
      </c>
      <c r="I17" s="111">
        <v>2</v>
      </c>
      <c r="J17" s="111">
        <v>0</v>
      </c>
      <c r="K17" s="111">
        <v>10</v>
      </c>
      <c r="L17" s="111">
        <v>0</v>
      </c>
      <c r="M17" s="111">
        <v>4</v>
      </c>
      <c r="N17" s="111">
        <v>2</v>
      </c>
      <c r="O17" s="111">
        <v>3</v>
      </c>
      <c r="P17" s="111">
        <v>1</v>
      </c>
      <c r="Q17" s="111">
        <v>5</v>
      </c>
      <c r="R17" s="112">
        <v>3</v>
      </c>
      <c r="S17" s="350">
        <f t="shared" si="0"/>
        <v>35</v>
      </c>
    </row>
    <row r="18" spans="2:19" ht="23.25" customHeight="1">
      <c r="B18" s="254" t="s">
        <v>143</v>
      </c>
      <c r="C18" s="255">
        <v>103</v>
      </c>
      <c r="D18" s="256">
        <v>1116</v>
      </c>
      <c r="E18" s="118">
        <v>6</v>
      </c>
      <c r="F18" s="111">
        <v>8</v>
      </c>
      <c r="G18" s="111">
        <v>2</v>
      </c>
      <c r="H18" s="111">
        <v>2</v>
      </c>
      <c r="I18" s="111">
        <v>2</v>
      </c>
      <c r="J18" s="111">
        <v>0</v>
      </c>
      <c r="K18" s="111">
        <v>14</v>
      </c>
      <c r="L18" s="111">
        <v>0</v>
      </c>
      <c r="M18" s="111">
        <v>8</v>
      </c>
      <c r="N18" s="111">
        <v>7</v>
      </c>
      <c r="O18" s="111">
        <v>3</v>
      </c>
      <c r="P18" s="111">
        <v>2</v>
      </c>
      <c r="Q18" s="111">
        <v>8</v>
      </c>
      <c r="R18" s="112">
        <v>11</v>
      </c>
      <c r="S18" s="350">
        <f t="shared" si="0"/>
        <v>73</v>
      </c>
    </row>
    <row r="19" spans="2:19" ht="23.25" customHeight="1">
      <c r="B19" s="260" t="s">
        <v>144</v>
      </c>
      <c r="C19" s="261">
        <v>21</v>
      </c>
      <c r="D19" s="262">
        <v>88</v>
      </c>
      <c r="E19" s="118">
        <v>0</v>
      </c>
      <c r="F19" s="111">
        <v>1</v>
      </c>
      <c r="G19" s="111">
        <v>1</v>
      </c>
      <c r="H19" s="111">
        <v>0</v>
      </c>
      <c r="I19" s="111">
        <v>0</v>
      </c>
      <c r="J19" s="111">
        <v>1</v>
      </c>
      <c r="K19" s="111">
        <v>3</v>
      </c>
      <c r="L19" s="111">
        <v>1</v>
      </c>
      <c r="M19" s="111">
        <v>2</v>
      </c>
      <c r="N19" s="111">
        <v>0</v>
      </c>
      <c r="O19" s="111">
        <v>1</v>
      </c>
      <c r="P19" s="111">
        <v>0</v>
      </c>
      <c r="Q19" s="111">
        <v>1</v>
      </c>
      <c r="R19" s="112">
        <v>3</v>
      </c>
      <c r="S19" s="350">
        <f t="shared" si="0"/>
        <v>14</v>
      </c>
    </row>
    <row r="20" spans="2:19" ht="23.25" customHeight="1">
      <c r="B20" s="254" t="s">
        <v>145</v>
      </c>
      <c r="C20" s="255">
        <v>190</v>
      </c>
      <c r="D20" s="256">
        <v>2347</v>
      </c>
      <c r="E20" s="118">
        <v>5</v>
      </c>
      <c r="F20" s="111">
        <v>32</v>
      </c>
      <c r="G20" s="111">
        <v>8</v>
      </c>
      <c r="H20" s="111">
        <v>6</v>
      </c>
      <c r="I20" s="111">
        <v>4</v>
      </c>
      <c r="J20" s="111">
        <v>3</v>
      </c>
      <c r="K20" s="111">
        <v>15</v>
      </c>
      <c r="L20" s="111">
        <v>0</v>
      </c>
      <c r="M20" s="111">
        <v>10</v>
      </c>
      <c r="N20" s="111">
        <v>3</v>
      </c>
      <c r="O20" s="111">
        <v>20</v>
      </c>
      <c r="P20" s="111">
        <v>6</v>
      </c>
      <c r="Q20" s="111">
        <v>20</v>
      </c>
      <c r="R20" s="112">
        <v>17</v>
      </c>
      <c r="S20" s="350">
        <f t="shared" si="0"/>
        <v>149</v>
      </c>
    </row>
    <row r="21" spans="2:19" ht="23.25" customHeight="1">
      <c r="B21" s="260" t="s">
        <v>146</v>
      </c>
      <c r="C21" s="261">
        <v>5</v>
      </c>
      <c r="D21" s="262" t="s">
        <v>191</v>
      </c>
      <c r="E21" s="118">
        <v>1</v>
      </c>
      <c r="F21" s="111">
        <v>0</v>
      </c>
      <c r="G21" s="111">
        <v>0</v>
      </c>
      <c r="H21" s="111">
        <v>0</v>
      </c>
      <c r="I21" s="111">
        <v>0</v>
      </c>
      <c r="J21" s="111">
        <v>0</v>
      </c>
      <c r="K21" s="111">
        <v>0</v>
      </c>
      <c r="L21" s="111">
        <v>0</v>
      </c>
      <c r="M21" s="111">
        <v>2</v>
      </c>
      <c r="N21" s="111">
        <v>0</v>
      </c>
      <c r="O21" s="111">
        <v>0</v>
      </c>
      <c r="P21" s="111">
        <v>0</v>
      </c>
      <c r="Q21" s="111">
        <v>0</v>
      </c>
      <c r="R21" s="112">
        <v>0</v>
      </c>
      <c r="S21" s="350">
        <f t="shared" si="0"/>
        <v>3</v>
      </c>
    </row>
    <row r="22" spans="2:19" ht="23.25" customHeight="1">
      <c r="B22" s="254" t="s">
        <v>147</v>
      </c>
      <c r="C22" s="255" t="s">
        <v>191</v>
      </c>
      <c r="D22" s="256" t="s">
        <v>191</v>
      </c>
      <c r="E22" s="118">
        <v>0</v>
      </c>
      <c r="F22" s="111">
        <v>0</v>
      </c>
      <c r="G22" s="111">
        <v>0</v>
      </c>
      <c r="H22" s="111">
        <v>0</v>
      </c>
      <c r="I22" s="111">
        <v>0</v>
      </c>
      <c r="J22" s="111">
        <v>0</v>
      </c>
      <c r="K22" s="111">
        <v>0</v>
      </c>
      <c r="L22" s="111">
        <v>0</v>
      </c>
      <c r="M22" s="111">
        <v>0</v>
      </c>
      <c r="N22" s="111">
        <v>0</v>
      </c>
      <c r="O22" s="111">
        <v>0</v>
      </c>
      <c r="P22" s="111">
        <v>0</v>
      </c>
      <c r="Q22" s="111">
        <v>0</v>
      </c>
      <c r="R22" s="112">
        <v>0</v>
      </c>
      <c r="S22" s="350">
        <f t="shared" si="0"/>
        <v>0</v>
      </c>
    </row>
    <row r="23" spans="2:19" ht="23.25" customHeight="1">
      <c r="B23" s="254" t="s">
        <v>148</v>
      </c>
      <c r="C23" s="255">
        <v>25</v>
      </c>
      <c r="D23" s="256" t="s">
        <v>191</v>
      </c>
      <c r="E23" s="118">
        <v>1</v>
      </c>
      <c r="F23" s="111">
        <v>1</v>
      </c>
      <c r="G23" s="111">
        <v>1</v>
      </c>
      <c r="H23" s="111">
        <v>0</v>
      </c>
      <c r="I23" s="111">
        <v>1</v>
      </c>
      <c r="J23" s="111">
        <v>1</v>
      </c>
      <c r="K23" s="111">
        <v>3</v>
      </c>
      <c r="L23" s="111">
        <v>0</v>
      </c>
      <c r="M23" s="111">
        <v>1</v>
      </c>
      <c r="N23" s="111">
        <v>2</v>
      </c>
      <c r="O23" s="111">
        <v>1</v>
      </c>
      <c r="P23" s="111">
        <v>1</v>
      </c>
      <c r="Q23" s="111">
        <v>7</v>
      </c>
      <c r="R23" s="112">
        <v>3</v>
      </c>
      <c r="S23" s="350">
        <f t="shared" si="0"/>
        <v>23</v>
      </c>
    </row>
    <row r="24" spans="2:19" ht="23.25" customHeight="1">
      <c r="B24" s="254" t="s">
        <v>149</v>
      </c>
      <c r="C24" s="255">
        <v>44</v>
      </c>
      <c r="D24" s="256">
        <v>558</v>
      </c>
      <c r="E24" s="118">
        <v>1</v>
      </c>
      <c r="F24" s="111">
        <v>4</v>
      </c>
      <c r="G24" s="111">
        <v>0</v>
      </c>
      <c r="H24" s="111">
        <v>2</v>
      </c>
      <c r="I24" s="111">
        <v>2</v>
      </c>
      <c r="J24" s="111">
        <v>0</v>
      </c>
      <c r="K24" s="111">
        <v>3</v>
      </c>
      <c r="L24" s="111">
        <v>0</v>
      </c>
      <c r="M24" s="111">
        <v>5</v>
      </c>
      <c r="N24" s="111">
        <v>0</v>
      </c>
      <c r="O24" s="111">
        <v>7</v>
      </c>
      <c r="P24" s="111">
        <v>0</v>
      </c>
      <c r="Q24" s="111">
        <v>6</v>
      </c>
      <c r="R24" s="112">
        <v>1</v>
      </c>
      <c r="S24" s="350">
        <f t="shared" si="0"/>
        <v>31</v>
      </c>
    </row>
    <row r="25" spans="2:19" ht="23.25" customHeight="1">
      <c r="B25" s="254" t="s">
        <v>150</v>
      </c>
      <c r="C25" s="255">
        <v>55</v>
      </c>
      <c r="D25" s="256">
        <v>729</v>
      </c>
      <c r="E25" s="118">
        <v>5</v>
      </c>
      <c r="F25" s="111">
        <v>2</v>
      </c>
      <c r="G25" s="111">
        <v>1</v>
      </c>
      <c r="H25" s="111">
        <v>0</v>
      </c>
      <c r="I25" s="111">
        <v>1</v>
      </c>
      <c r="J25" s="111">
        <v>1</v>
      </c>
      <c r="K25" s="111">
        <v>8</v>
      </c>
      <c r="L25" s="111">
        <v>0</v>
      </c>
      <c r="M25" s="111">
        <v>7</v>
      </c>
      <c r="N25" s="111">
        <v>0</v>
      </c>
      <c r="O25" s="111">
        <v>3</v>
      </c>
      <c r="P25" s="111">
        <v>0</v>
      </c>
      <c r="Q25" s="111">
        <v>3</v>
      </c>
      <c r="R25" s="112">
        <v>2</v>
      </c>
      <c r="S25" s="350">
        <f t="shared" si="0"/>
        <v>33</v>
      </c>
    </row>
    <row r="26" spans="2:19" ht="23.25" customHeight="1">
      <c r="B26" s="254" t="s">
        <v>151</v>
      </c>
      <c r="C26" s="255">
        <v>28</v>
      </c>
      <c r="D26" s="256">
        <v>100</v>
      </c>
      <c r="E26" s="118">
        <v>3</v>
      </c>
      <c r="F26" s="111">
        <v>1</v>
      </c>
      <c r="G26" s="111">
        <v>0</v>
      </c>
      <c r="H26" s="111">
        <v>1</v>
      </c>
      <c r="I26" s="111">
        <v>0</v>
      </c>
      <c r="J26" s="111">
        <v>2</v>
      </c>
      <c r="K26" s="111">
        <v>1</v>
      </c>
      <c r="L26" s="111">
        <v>0</v>
      </c>
      <c r="M26" s="111">
        <v>4</v>
      </c>
      <c r="N26" s="111">
        <v>0</v>
      </c>
      <c r="O26" s="111">
        <v>0</v>
      </c>
      <c r="P26" s="111">
        <v>0</v>
      </c>
      <c r="Q26" s="111">
        <v>2</v>
      </c>
      <c r="R26" s="112">
        <v>0</v>
      </c>
      <c r="S26" s="350">
        <f t="shared" si="0"/>
        <v>14</v>
      </c>
    </row>
    <row r="27" spans="2:19" ht="23.25" customHeight="1">
      <c r="B27" s="254" t="s">
        <v>152</v>
      </c>
      <c r="C27" s="255">
        <v>79</v>
      </c>
      <c r="D27" s="256">
        <v>844</v>
      </c>
      <c r="E27" s="118">
        <v>5</v>
      </c>
      <c r="F27" s="111">
        <v>10</v>
      </c>
      <c r="G27" s="111">
        <v>4</v>
      </c>
      <c r="H27" s="111">
        <v>1</v>
      </c>
      <c r="I27" s="111">
        <v>1</v>
      </c>
      <c r="J27" s="111">
        <v>3</v>
      </c>
      <c r="K27" s="111">
        <v>4</v>
      </c>
      <c r="L27" s="111">
        <v>0</v>
      </c>
      <c r="M27" s="111">
        <v>6</v>
      </c>
      <c r="N27" s="111">
        <v>2</v>
      </c>
      <c r="O27" s="111">
        <v>5</v>
      </c>
      <c r="P27" s="111">
        <v>1</v>
      </c>
      <c r="Q27" s="111">
        <v>2</v>
      </c>
      <c r="R27" s="112">
        <v>9</v>
      </c>
      <c r="S27" s="350">
        <f t="shared" si="0"/>
        <v>53</v>
      </c>
    </row>
    <row r="28" spans="2:19" ht="23.25" customHeight="1">
      <c r="B28" s="260" t="s">
        <v>153</v>
      </c>
      <c r="C28" s="261">
        <v>36</v>
      </c>
      <c r="D28" s="262">
        <v>177</v>
      </c>
      <c r="E28" s="118">
        <v>4</v>
      </c>
      <c r="F28" s="111">
        <v>6</v>
      </c>
      <c r="G28" s="111">
        <v>1</v>
      </c>
      <c r="H28" s="111">
        <v>2</v>
      </c>
      <c r="I28" s="111">
        <v>0</v>
      </c>
      <c r="J28" s="111">
        <v>0</v>
      </c>
      <c r="K28" s="111">
        <v>3</v>
      </c>
      <c r="L28" s="111">
        <v>0</v>
      </c>
      <c r="M28" s="111">
        <v>3</v>
      </c>
      <c r="N28" s="111">
        <v>0</v>
      </c>
      <c r="O28" s="111">
        <v>1</v>
      </c>
      <c r="P28" s="111">
        <v>5</v>
      </c>
      <c r="Q28" s="111">
        <v>3</v>
      </c>
      <c r="R28" s="112">
        <v>2</v>
      </c>
      <c r="S28" s="350">
        <f t="shared" si="0"/>
        <v>30</v>
      </c>
    </row>
    <row r="29" spans="2:19" ht="23.25" customHeight="1">
      <c r="B29" s="254" t="s">
        <v>154</v>
      </c>
      <c r="C29" s="255">
        <v>36</v>
      </c>
      <c r="D29" s="256">
        <v>150</v>
      </c>
      <c r="E29" s="118">
        <v>0</v>
      </c>
      <c r="F29" s="111">
        <v>2</v>
      </c>
      <c r="G29" s="111">
        <v>3</v>
      </c>
      <c r="H29" s="111">
        <v>1</v>
      </c>
      <c r="I29" s="111">
        <v>0</v>
      </c>
      <c r="J29" s="111">
        <v>1</v>
      </c>
      <c r="K29" s="111">
        <v>2</v>
      </c>
      <c r="L29" s="111">
        <v>0</v>
      </c>
      <c r="M29" s="111">
        <v>1</v>
      </c>
      <c r="N29" s="111">
        <v>0</v>
      </c>
      <c r="O29" s="111">
        <v>2</v>
      </c>
      <c r="P29" s="111">
        <v>0</v>
      </c>
      <c r="Q29" s="111">
        <v>0</v>
      </c>
      <c r="R29" s="112">
        <v>3</v>
      </c>
      <c r="S29" s="350">
        <f t="shared" si="0"/>
        <v>15</v>
      </c>
    </row>
    <row r="30" spans="2:19" ht="23.25" customHeight="1">
      <c r="B30" s="575" t="s">
        <v>155</v>
      </c>
      <c r="C30" s="576">
        <v>124</v>
      </c>
      <c r="D30" s="577">
        <v>1313</v>
      </c>
      <c r="E30" s="578">
        <v>4</v>
      </c>
      <c r="F30" s="271">
        <v>17</v>
      </c>
      <c r="G30" s="271">
        <v>4</v>
      </c>
      <c r="H30" s="271">
        <v>4</v>
      </c>
      <c r="I30" s="271">
        <v>4</v>
      </c>
      <c r="J30" s="271">
        <v>7</v>
      </c>
      <c r="K30" s="271">
        <v>7</v>
      </c>
      <c r="L30" s="271">
        <v>0</v>
      </c>
      <c r="M30" s="271">
        <v>10</v>
      </c>
      <c r="N30" s="271">
        <v>0</v>
      </c>
      <c r="O30" s="271">
        <v>8</v>
      </c>
      <c r="P30" s="271">
        <v>2</v>
      </c>
      <c r="Q30" s="271">
        <v>20</v>
      </c>
      <c r="R30" s="579">
        <v>8</v>
      </c>
      <c r="S30" s="350">
        <f t="shared" si="0"/>
        <v>95</v>
      </c>
    </row>
    <row r="31" spans="2:19" ht="23.25" customHeight="1">
      <c r="B31" s="558" t="s">
        <v>156</v>
      </c>
      <c r="C31" s="559">
        <v>14</v>
      </c>
      <c r="D31" s="560">
        <v>50</v>
      </c>
      <c r="E31" s="561">
        <v>0</v>
      </c>
      <c r="F31" s="562">
        <v>0</v>
      </c>
      <c r="G31" s="562">
        <v>0</v>
      </c>
      <c r="H31" s="562">
        <v>0</v>
      </c>
      <c r="I31" s="562">
        <v>1</v>
      </c>
      <c r="J31" s="562">
        <v>0</v>
      </c>
      <c r="K31" s="562">
        <v>3</v>
      </c>
      <c r="L31" s="562">
        <v>0</v>
      </c>
      <c r="M31" s="562">
        <v>0</v>
      </c>
      <c r="N31" s="562">
        <v>0</v>
      </c>
      <c r="O31" s="562">
        <v>1</v>
      </c>
      <c r="P31" s="562">
        <v>0</v>
      </c>
      <c r="Q31" s="562">
        <v>1</v>
      </c>
      <c r="R31" s="563">
        <v>0</v>
      </c>
      <c r="S31" s="564">
        <f t="shared" si="0"/>
        <v>6</v>
      </c>
    </row>
    <row r="32" spans="2:19" ht="23.25" customHeight="1">
      <c r="B32" s="263" t="s">
        <v>157</v>
      </c>
      <c r="C32" s="264">
        <v>54</v>
      </c>
      <c r="D32" s="265">
        <v>275</v>
      </c>
      <c r="E32" s="266">
        <v>5</v>
      </c>
      <c r="F32" s="267">
        <v>5</v>
      </c>
      <c r="G32" s="267">
        <v>1</v>
      </c>
      <c r="H32" s="267">
        <v>2</v>
      </c>
      <c r="I32" s="267">
        <v>1</v>
      </c>
      <c r="J32" s="267">
        <v>8</v>
      </c>
      <c r="K32" s="267">
        <v>6</v>
      </c>
      <c r="L32" s="267">
        <v>0</v>
      </c>
      <c r="M32" s="267">
        <v>4</v>
      </c>
      <c r="N32" s="267">
        <v>1</v>
      </c>
      <c r="O32" s="267">
        <v>0</v>
      </c>
      <c r="P32" s="267">
        <v>1</v>
      </c>
      <c r="Q32" s="267">
        <v>6</v>
      </c>
      <c r="R32" s="268">
        <v>4</v>
      </c>
      <c r="S32" s="351">
        <f t="shared" si="0"/>
        <v>44</v>
      </c>
    </row>
    <row r="34" spans="2:5" ht="15.75">
      <c r="B34" s="269"/>
      <c r="C34" s="270"/>
      <c r="D34" s="270"/>
      <c r="E34" s="270"/>
    </row>
  </sheetData>
  <mergeCells count="2">
    <mergeCell ref="E4:R4"/>
    <mergeCell ref="B2:S2"/>
  </mergeCells>
  <pageMargins left="0.75" right="0.75" top="1" bottom="1" header="0.5" footer="0.5"/>
  <pageSetup orientation="portrait" horizontalDpi="4294967292" verticalDpi="4294967292"/>
  <ignoredErrors>
    <ignoredError sqref="S24 S20" formulaRange="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B2:K15"/>
  <sheetViews>
    <sheetView zoomScale="90" zoomScaleNormal="90" workbookViewId="0">
      <selection activeCell="B4" sqref="B4:K4"/>
    </sheetView>
  </sheetViews>
  <sheetFormatPr defaultColWidth="8.85546875" defaultRowHeight="15"/>
  <cols>
    <col min="1" max="1" width="8.85546875" style="55"/>
    <col min="2" max="7" width="8.7109375" style="55" customWidth="1"/>
    <col min="8" max="8" width="15.5703125" style="55" customWidth="1"/>
    <col min="9" max="9" width="24.28515625" style="55" customWidth="1"/>
    <col min="10" max="11" width="8.7109375" style="55" customWidth="1"/>
    <col min="12" max="16384" width="8.85546875" style="55"/>
  </cols>
  <sheetData>
    <row r="2" spans="2:11" ht="18.75">
      <c r="B2" s="373" t="s">
        <v>113</v>
      </c>
      <c r="C2" s="374"/>
      <c r="D2" s="374"/>
      <c r="E2" s="374"/>
      <c r="F2" s="374"/>
      <c r="G2" s="374"/>
      <c r="H2" s="374"/>
      <c r="I2" s="374"/>
      <c r="J2" s="374"/>
      <c r="K2" s="375"/>
    </row>
    <row r="3" spans="2:11" ht="34.5" customHeight="1">
      <c r="B3" s="183"/>
      <c r="C3" s="370" t="s">
        <v>272</v>
      </c>
      <c r="D3" s="371"/>
      <c r="E3" s="371"/>
      <c r="F3" s="371"/>
      <c r="G3" s="371"/>
      <c r="H3" s="371"/>
      <c r="I3" s="371"/>
      <c r="J3" s="371"/>
      <c r="K3" s="372"/>
    </row>
    <row r="4" spans="2:11" ht="64.5" customHeight="1">
      <c r="B4" s="379" t="s">
        <v>361</v>
      </c>
      <c r="C4" s="380"/>
      <c r="D4" s="380"/>
      <c r="E4" s="380"/>
      <c r="F4" s="380"/>
      <c r="G4" s="380"/>
      <c r="H4" s="380"/>
      <c r="I4" s="380"/>
      <c r="J4" s="380"/>
      <c r="K4" s="381"/>
    </row>
    <row r="5" spans="2:11" ht="26.1" customHeight="1">
      <c r="B5" s="74"/>
      <c r="C5" s="72"/>
      <c r="D5" s="72"/>
      <c r="E5" s="72"/>
      <c r="F5" s="72"/>
      <c r="G5" s="72"/>
      <c r="H5" s="72"/>
      <c r="I5" s="72"/>
      <c r="J5" s="72"/>
      <c r="K5" s="73"/>
    </row>
    <row r="6" spans="2:11" ht="48.75" customHeight="1">
      <c r="B6" s="382" t="s">
        <v>318</v>
      </c>
      <c r="C6" s="383"/>
      <c r="D6" s="383"/>
      <c r="E6" s="383"/>
      <c r="F6" s="383"/>
      <c r="G6" s="383"/>
      <c r="H6" s="383"/>
      <c r="I6" s="383"/>
      <c r="J6" s="383"/>
      <c r="K6" s="384"/>
    </row>
    <row r="7" spans="2:11" ht="54.95" customHeight="1">
      <c r="B7" s="382" t="s">
        <v>269</v>
      </c>
      <c r="C7" s="383"/>
      <c r="D7" s="383"/>
      <c r="E7" s="383"/>
      <c r="F7" s="383"/>
      <c r="G7" s="383"/>
      <c r="H7" s="383"/>
      <c r="I7" s="383"/>
      <c r="J7" s="383"/>
      <c r="K7" s="384"/>
    </row>
    <row r="8" spans="2:11" ht="39" customHeight="1">
      <c r="B8" s="74"/>
      <c r="C8" s="72"/>
      <c r="D8" s="72"/>
      <c r="E8" s="72"/>
      <c r="F8" s="72"/>
      <c r="G8" s="72"/>
      <c r="H8" s="72"/>
      <c r="I8" s="72"/>
      <c r="J8" s="72"/>
      <c r="K8" s="73"/>
    </row>
    <row r="9" spans="2:11" ht="54.75" customHeight="1">
      <c r="B9" s="56"/>
      <c r="C9" s="376" t="s">
        <v>270</v>
      </c>
      <c r="D9" s="377"/>
      <c r="E9" s="377"/>
      <c r="F9" s="377"/>
      <c r="G9" s="377"/>
      <c r="H9" s="378"/>
      <c r="I9" s="80"/>
      <c r="J9" s="57"/>
      <c r="K9" s="58"/>
    </row>
    <row r="10" spans="2:11" ht="9" customHeight="1">
      <c r="B10" s="56"/>
      <c r="C10" s="78"/>
      <c r="D10" s="78"/>
      <c r="E10" s="78"/>
      <c r="F10" s="78"/>
      <c r="G10" s="78"/>
      <c r="H10" s="78"/>
      <c r="I10" s="2"/>
      <c r="J10" s="57"/>
      <c r="K10" s="58"/>
    </row>
    <row r="11" spans="2:11" ht="42" customHeight="1">
      <c r="B11" s="56"/>
      <c r="C11" s="366" t="s">
        <v>271</v>
      </c>
      <c r="D11" s="368"/>
      <c r="E11" s="368"/>
      <c r="F11" s="368"/>
      <c r="G11" s="368"/>
      <c r="H11" s="369"/>
      <c r="I11" s="75"/>
      <c r="J11" s="57"/>
      <c r="K11" s="58"/>
    </row>
    <row r="12" spans="2:11" ht="9.75" customHeight="1">
      <c r="B12" s="56"/>
      <c r="C12" s="81"/>
      <c r="D12" s="81"/>
      <c r="E12" s="81"/>
      <c r="F12" s="81"/>
      <c r="G12" s="81"/>
      <c r="H12" s="81"/>
      <c r="I12" s="2"/>
      <c r="J12" s="57"/>
      <c r="K12" s="58"/>
    </row>
    <row r="13" spans="2:11" ht="66.75" customHeight="1">
      <c r="B13" s="56"/>
      <c r="C13" s="366" t="s">
        <v>273</v>
      </c>
      <c r="D13" s="366"/>
      <c r="E13" s="366"/>
      <c r="F13" s="366"/>
      <c r="G13" s="366"/>
      <c r="H13" s="367"/>
      <c r="I13" s="76"/>
      <c r="J13" s="57"/>
      <c r="K13" s="58"/>
    </row>
    <row r="14" spans="2:11">
      <c r="B14" s="56"/>
      <c r="C14" s="57"/>
      <c r="D14" s="57"/>
      <c r="E14" s="57"/>
      <c r="F14" s="57"/>
      <c r="G14" s="57"/>
      <c r="H14" s="57"/>
      <c r="I14" s="57"/>
      <c r="J14" s="57"/>
      <c r="K14" s="58"/>
    </row>
    <row r="15" spans="2:11">
      <c r="B15" s="82"/>
      <c r="C15" s="83"/>
      <c r="D15" s="83"/>
      <c r="E15" s="83"/>
      <c r="F15" s="83"/>
      <c r="G15" s="83"/>
      <c r="H15" s="83"/>
      <c r="I15" s="83"/>
      <c r="J15" s="83"/>
      <c r="K15" s="84"/>
    </row>
  </sheetData>
  <mergeCells count="8">
    <mergeCell ref="C13:H13"/>
    <mergeCell ref="C11:H11"/>
    <mergeCell ref="C3:K3"/>
    <mergeCell ref="B2:K2"/>
    <mergeCell ref="C9:H9"/>
    <mergeCell ref="B4:K4"/>
    <mergeCell ref="B6:K6"/>
    <mergeCell ref="B7:K7"/>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B1:Q69"/>
  <sheetViews>
    <sheetView tabSelected="1" zoomScale="80" zoomScaleNormal="80" workbookViewId="0">
      <selection activeCell="Z8" sqref="Z8"/>
    </sheetView>
  </sheetViews>
  <sheetFormatPr defaultColWidth="8.85546875" defaultRowHeight="15"/>
  <cols>
    <col min="1" max="1" width="2.7109375" style="176" customWidth="1"/>
    <col min="2" max="2" width="13.42578125" style="176" customWidth="1"/>
    <col min="3" max="3" width="28.28515625" style="176" customWidth="1"/>
    <col min="4" max="11" width="11.28515625" style="176" customWidth="1"/>
    <col min="12" max="12" width="10.42578125" style="176" customWidth="1"/>
    <col min="13" max="13" width="6" style="176" customWidth="1"/>
    <col min="14" max="14" width="19.7109375" style="176" customWidth="1"/>
    <col min="15" max="16384" width="8.85546875" style="176"/>
  </cols>
  <sheetData>
    <row r="1" spans="2:17" ht="15.75" thickBot="1"/>
    <row r="2" spans="2:17" ht="77.25" customHeight="1" thickBot="1">
      <c r="B2" s="394" t="s">
        <v>359</v>
      </c>
      <c r="C2" s="395"/>
      <c r="D2" s="395"/>
      <c r="E2" s="395"/>
      <c r="F2" s="395"/>
      <c r="G2" s="395"/>
      <c r="H2" s="395"/>
      <c r="I2" s="395"/>
      <c r="J2" s="395"/>
      <c r="K2" s="395"/>
      <c r="L2" s="395"/>
      <c r="M2" s="395"/>
      <c r="N2" s="396"/>
    </row>
    <row r="3" spans="2:17" ht="11.25" customHeight="1" thickBot="1">
      <c r="B3" s="274"/>
      <c r="C3" s="275"/>
      <c r="D3" s="275"/>
      <c r="E3" s="275"/>
      <c r="F3" s="275"/>
      <c r="G3" s="275"/>
      <c r="H3" s="275"/>
      <c r="I3" s="275"/>
      <c r="J3" s="275"/>
      <c r="K3" s="275"/>
      <c r="L3" s="275"/>
      <c r="M3" s="275"/>
      <c r="N3" s="275"/>
    </row>
    <row r="4" spans="2:17" ht="42" customHeight="1">
      <c r="B4" s="397" t="s">
        <v>330</v>
      </c>
      <c r="C4" s="398"/>
      <c r="D4" s="398"/>
      <c r="E4" s="398"/>
      <c r="F4" s="398"/>
      <c r="G4" s="398"/>
      <c r="H4" s="398"/>
      <c r="I4" s="398"/>
      <c r="J4" s="398"/>
      <c r="K4" s="398"/>
      <c r="L4" s="398"/>
      <c r="M4" s="398"/>
      <c r="N4" s="399"/>
    </row>
    <row r="5" spans="2:17" ht="30" customHeight="1">
      <c r="B5" s="400" t="s">
        <v>336</v>
      </c>
      <c r="C5" s="401"/>
      <c r="D5" s="401"/>
      <c r="E5" s="401"/>
      <c r="F5" s="401"/>
      <c r="G5" s="401"/>
      <c r="H5" s="401"/>
      <c r="I5" s="401"/>
      <c r="J5" s="401"/>
      <c r="K5" s="401"/>
      <c r="L5" s="401"/>
      <c r="M5" s="401"/>
      <c r="N5" s="276">
        <f>'(A) Workspace- # of Cars'!B13</f>
        <v>321.07899999999995</v>
      </c>
    </row>
    <row r="6" spans="2:17" ht="30" customHeight="1">
      <c r="B6" s="400" t="s">
        <v>337</v>
      </c>
      <c r="C6" s="401"/>
      <c r="D6" s="401"/>
      <c r="E6" s="401"/>
      <c r="F6" s="401"/>
      <c r="G6" s="401"/>
      <c r="H6" s="401"/>
      <c r="I6" s="401"/>
      <c r="J6" s="401"/>
      <c r="K6" s="401"/>
      <c r="L6" s="401"/>
      <c r="M6" s="401"/>
      <c r="N6" s="276">
        <v>11356</v>
      </c>
    </row>
    <row r="7" spans="2:17" ht="30" customHeight="1">
      <c r="B7" s="400" t="s">
        <v>338</v>
      </c>
      <c r="C7" s="401"/>
      <c r="D7" s="401"/>
      <c r="E7" s="401"/>
      <c r="F7" s="401"/>
      <c r="G7" s="401"/>
      <c r="H7" s="401"/>
      <c r="I7" s="401"/>
      <c r="J7" s="401"/>
      <c r="K7" s="401"/>
      <c r="L7" s="401"/>
      <c r="M7" s="401"/>
      <c r="N7" s="276">
        <f>N6*N5</f>
        <v>3646173.1239999994</v>
      </c>
    </row>
    <row r="8" spans="2:17" ht="30" customHeight="1">
      <c r="B8" s="400" t="s">
        <v>339</v>
      </c>
      <c r="C8" s="401"/>
      <c r="D8" s="401"/>
      <c r="E8" s="401"/>
      <c r="F8" s="401"/>
      <c r="G8" s="401"/>
      <c r="H8" s="401"/>
      <c r="I8" s="401"/>
      <c r="J8" s="401"/>
      <c r="K8" s="401"/>
      <c r="L8" s="401"/>
      <c r="M8" s="401"/>
      <c r="N8" s="277">
        <v>684</v>
      </c>
    </row>
    <row r="9" spans="2:17" ht="36.75" customHeight="1">
      <c r="B9" s="400" t="s">
        <v>168</v>
      </c>
      <c r="C9" s="401"/>
      <c r="D9" s="401"/>
      <c r="E9" s="401"/>
      <c r="F9" s="401"/>
      <c r="G9" s="401"/>
      <c r="H9" s="401"/>
      <c r="I9" s="401"/>
      <c r="J9" s="401"/>
      <c r="K9" s="401"/>
      <c r="L9" s="401"/>
      <c r="M9" s="401"/>
      <c r="N9" s="276">
        <f>'1.Current Trans'!B6</f>
        <v>21919.323426135412</v>
      </c>
      <c r="O9" s="68"/>
      <c r="P9" s="68"/>
    </row>
    <row r="10" spans="2:17" ht="39" customHeight="1">
      <c r="B10" s="385" t="s">
        <v>222</v>
      </c>
      <c r="C10" s="386"/>
      <c r="D10" s="386"/>
      <c r="E10" s="386"/>
      <c r="F10" s="386"/>
      <c r="G10" s="386"/>
      <c r="H10" s="386"/>
      <c r="I10" s="386"/>
      <c r="J10" s="386"/>
      <c r="K10" s="386"/>
      <c r="L10" s="386"/>
      <c r="M10" s="386"/>
      <c r="N10" s="276">
        <f>'1.Current Trans'!B27</f>
        <v>21521.256759468746</v>
      </c>
      <c r="O10" s="68"/>
      <c r="P10" s="68"/>
    </row>
    <row r="11" spans="2:17" ht="39" customHeight="1">
      <c r="B11" s="385" t="s">
        <v>187</v>
      </c>
      <c r="C11" s="386"/>
      <c r="D11" s="386"/>
      <c r="E11" s="386"/>
      <c r="F11" s="386"/>
      <c r="G11" s="386"/>
      <c r="H11" s="386"/>
      <c r="I11" s="386"/>
      <c r="J11" s="386"/>
      <c r="K11" s="386"/>
      <c r="L11" s="386"/>
      <c r="M11" s="386"/>
      <c r="N11" s="276">
        <f>'1.Current Trans'!B21</f>
        <v>166012.43749999997</v>
      </c>
      <c r="O11" s="68"/>
      <c r="P11" s="68"/>
    </row>
    <row r="12" spans="2:17" ht="44.25" customHeight="1" thickBot="1">
      <c r="B12" s="392" t="s">
        <v>340</v>
      </c>
      <c r="C12" s="393"/>
      <c r="D12" s="393"/>
      <c r="E12" s="393"/>
      <c r="F12" s="393"/>
      <c r="G12" s="393"/>
      <c r="H12" s="393"/>
      <c r="I12" s="393"/>
      <c r="J12" s="393"/>
      <c r="K12" s="393"/>
      <c r="L12" s="393"/>
      <c r="M12" s="393"/>
      <c r="N12" s="285">
        <f>N11*2.3428</f>
        <v>388933.93857499992</v>
      </c>
      <c r="O12" s="68"/>
      <c r="P12" s="68"/>
    </row>
    <row r="13" spans="2:17" ht="13.5" customHeight="1" thickBot="1">
      <c r="B13" s="71"/>
      <c r="C13" s="68"/>
      <c r="D13" s="68"/>
      <c r="E13" s="68"/>
      <c r="F13" s="68"/>
      <c r="G13" s="68"/>
      <c r="H13" s="68"/>
      <c r="I13" s="68"/>
      <c r="J13" s="68"/>
      <c r="K13" s="68"/>
      <c r="L13" s="68"/>
      <c r="M13" s="68"/>
      <c r="N13" s="68"/>
      <c r="O13" s="68"/>
      <c r="P13" s="68"/>
      <c r="Q13" s="68"/>
    </row>
    <row r="14" spans="2:17" ht="42" customHeight="1">
      <c r="B14" s="402" t="s">
        <v>341</v>
      </c>
      <c r="C14" s="403"/>
      <c r="D14" s="403"/>
      <c r="E14" s="403"/>
      <c r="F14" s="403"/>
      <c r="G14" s="403"/>
      <c r="H14" s="403"/>
      <c r="I14" s="403"/>
      <c r="J14" s="403"/>
      <c r="K14" s="403"/>
      <c r="L14" s="403"/>
      <c r="M14" s="403"/>
      <c r="N14" s="404"/>
      <c r="O14" s="68"/>
      <c r="P14" s="68"/>
      <c r="Q14" s="68"/>
    </row>
    <row r="15" spans="2:17" ht="36" customHeight="1">
      <c r="B15" s="409" t="s">
        <v>351</v>
      </c>
      <c r="C15" s="401"/>
      <c r="D15" s="401"/>
      <c r="E15" s="401"/>
      <c r="F15" s="401"/>
      <c r="G15" s="401"/>
      <c r="H15" s="401"/>
      <c r="I15" s="401"/>
      <c r="J15" s="401"/>
      <c r="K15" s="401"/>
      <c r="L15" s="401"/>
      <c r="M15" s="401"/>
      <c r="N15" s="347">
        <f>'2.Current Heat'!B18</f>
        <v>20570</v>
      </c>
      <c r="P15" s="68"/>
      <c r="Q15" s="68"/>
    </row>
    <row r="16" spans="2:17" ht="36" customHeight="1">
      <c r="B16" s="410" t="s">
        <v>352</v>
      </c>
      <c r="C16" s="386"/>
      <c r="D16" s="386"/>
      <c r="E16" s="386"/>
      <c r="F16" s="386"/>
      <c r="G16" s="386"/>
      <c r="H16" s="386"/>
      <c r="I16" s="386"/>
      <c r="J16" s="386"/>
      <c r="K16" s="386"/>
      <c r="L16" s="386"/>
      <c r="M16" s="386"/>
      <c r="N16" s="347">
        <f>'2.Current Heat'!B43</f>
        <v>2984.0209569064</v>
      </c>
      <c r="P16" s="68"/>
      <c r="Q16" s="68"/>
    </row>
    <row r="17" spans="2:17" ht="36" customHeight="1">
      <c r="B17" s="409" t="s">
        <v>353</v>
      </c>
      <c r="C17" s="401"/>
      <c r="D17" s="401"/>
      <c r="E17" s="401"/>
      <c r="F17" s="401"/>
      <c r="G17" s="401"/>
      <c r="H17" s="401"/>
      <c r="I17" s="401"/>
      <c r="J17" s="401"/>
      <c r="K17" s="401"/>
      <c r="L17" s="401"/>
      <c r="M17" s="401"/>
      <c r="N17" s="347">
        <f>'2.Current Heat'!B50</f>
        <v>3479.3936170212769</v>
      </c>
      <c r="P17" s="68"/>
      <c r="Q17" s="68"/>
    </row>
    <row r="18" spans="2:17" ht="36" customHeight="1">
      <c r="B18" s="385" t="s">
        <v>188</v>
      </c>
      <c r="C18" s="386"/>
      <c r="D18" s="386"/>
      <c r="E18" s="386"/>
      <c r="F18" s="386"/>
      <c r="G18" s="386"/>
      <c r="H18" s="386"/>
      <c r="I18" s="386"/>
      <c r="J18" s="386"/>
      <c r="K18" s="386"/>
      <c r="L18" s="386"/>
      <c r="M18" s="386"/>
      <c r="N18" s="347">
        <f>'2.Current Heat'!B4</f>
        <v>27033.414573927676</v>
      </c>
      <c r="P18" s="68"/>
      <c r="Q18" s="68"/>
    </row>
    <row r="19" spans="2:17" ht="36" customHeight="1">
      <c r="B19" s="405" t="s">
        <v>335</v>
      </c>
      <c r="C19" s="406"/>
      <c r="D19" s="406"/>
      <c r="E19" s="406"/>
      <c r="F19" s="406"/>
      <c r="G19" s="406"/>
      <c r="H19" s="406"/>
      <c r="I19" s="406"/>
      <c r="J19" s="406"/>
      <c r="K19" s="406"/>
      <c r="L19" s="406"/>
      <c r="M19" s="406"/>
      <c r="N19" s="348">
        <f>'3. Current Home Heating Detail'!F30</f>
        <v>439266.63875411381</v>
      </c>
      <c r="P19" s="68"/>
      <c r="Q19" s="68"/>
    </row>
    <row r="20" spans="2:17" ht="36" customHeight="1">
      <c r="B20" s="405" t="s">
        <v>334</v>
      </c>
      <c r="C20" s="406"/>
      <c r="D20" s="406"/>
      <c r="E20" s="406"/>
      <c r="F20" s="406"/>
      <c r="G20" s="406"/>
      <c r="H20" s="406"/>
      <c r="I20" s="406"/>
      <c r="J20" s="406"/>
      <c r="K20" s="406"/>
      <c r="L20" s="406"/>
      <c r="M20" s="406"/>
      <c r="N20" s="348">
        <f>'3. Current Home Heating Detail'!F31</f>
        <v>29209.681455861253</v>
      </c>
      <c r="P20" s="68"/>
      <c r="Q20" s="68"/>
    </row>
    <row r="21" spans="2:17" ht="36" customHeight="1" thickBot="1">
      <c r="B21" s="407" t="s">
        <v>333</v>
      </c>
      <c r="C21" s="408"/>
      <c r="D21" s="408"/>
      <c r="E21" s="408"/>
      <c r="F21" s="408"/>
      <c r="G21" s="408"/>
      <c r="H21" s="408"/>
      <c r="I21" s="408"/>
      <c r="J21" s="408"/>
      <c r="K21" s="408"/>
      <c r="L21" s="408"/>
      <c r="M21" s="408"/>
      <c r="N21" s="285">
        <f>'3. Current Home Heating Detail'!F32</f>
        <v>468476.32020997506</v>
      </c>
      <c r="P21" s="68"/>
      <c r="Q21" s="68"/>
    </row>
    <row r="22" spans="2:17" ht="12" customHeight="1" thickBot="1">
      <c r="B22" s="414"/>
      <c r="C22" s="414"/>
      <c r="D22" s="414"/>
      <c r="E22" s="414"/>
      <c r="F22" s="414"/>
      <c r="G22" s="414"/>
      <c r="H22" s="414"/>
      <c r="I22" s="414"/>
      <c r="J22" s="414"/>
      <c r="K22" s="414"/>
      <c r="L22" s="414"/>
      <c r="M22" s="414"/>
      <c r="N22" s="414"/>
      <c r="P22" s="68"/>
      <c r="Q22" s="68"/>
    </row>
    <row r="23" spans="2:17" ht="43.5" customHeight="1">
      <c r="B23" s="411" t="s">
        <v>343</v>
      </c>
      <c r="C23" s="412"/>
      <c r="D23" s="412"/>
      <c r="E23" s="412"/>
      <c r="F23" s="412"/>
      <c r="G23" s="412"/>
      <c r="H23" s="412"/>
      <c r="I23" s="412"/>
      <c r="J23" s="412"/>
      <c r="K23" s="412"/>
      <c r="L23" s="412"/>
      <c r="M23" s="412"/>
      <c r="N23" s="413"/>
      <c r="O23" s="68"/>
      <c r="P23" s="68"/>
      <c r="Q23" s="68"/>
    </row>
    <row r="24" spans="2:17" ht="18" customHeight="1">
      <c r="B24" s="160"/>
      <c r="C24" s="278"/>
      <c r="D24" s="387" t="s">
        <v>342</v>
      </c>
      <c r="E24" s="388"/>
      <c r="F24" s="388"/>
      <c r="G24" s="388"/>
      <c r="H24" s="388"/>
      <c r="I24" s="388"/>
      <c r="J24" s="388"/>
      <c r="K24" s="388"/>
      <c r="L24" s="389"/>
      <c r="M24" s="278"/>
      <c r="N24" s="283"/>
      <c r="O24" s="68"/>
      <c r="P24" s="68"/>
      <c r="Q24" s="68"/>
    </row>
    <row r="25" spans="2:17" ht="48.75" customHeight="1">
      <c r="B25" s="160"/>
      <c r="C25" s="284"/>
      <c r="D25" s="324" t="s">
        <v>256</v>
      </c>
      <c r="E25" s="325" t="s">
        <v>257</v>
      </c>
      <c r="F25" s="325" t="s">
        <v>23</v>
      </c>
      <c r="G25" s="325" t="s">
        <v>216</v>
      </c>
      <c r="H25" s="325" t="s">
        <v>258</v>
      </c>
      <c r="I25" s="325" t="s">
        <v>259</v>
      </c>
      <c r="J25" s="325" t="s">
        <v>260</v>
      </c>
      <c r="K25" s="325" t="s">
        <v>261</v>
      </c>
      <c r="L25" s="326" t="s">
        <v>262</v>
      </c>
      <c r="M25" s="284"/>
      <c r="N25" s="283"/>
    </row>
    <row r="26" spans="2:17" ht="48.75" customHeight="1">
      <c r="B26" s="160"/>
      <c r="C26" s="321" t="s">
        <v>347</v>
      </c>
      <c r="D26" s="312">
        <f>'3. Current Home Heating Detail'!D13/1792</f>
        <v>0</v>
      </c>
      <c r="E26" s="292">
        <f>'3. Current Home Heating Detail'!E13/1792</f>
        <v>24.215000000000003</v>
      </c>
      <c r="F26" s="292">
        <f>'3. Current Home Heating Detail'!F13/1792</f>
        <v>15.030000000000003</v>
      </c>
      <c r="G26" s="292">
        <f>'3. Current Home Heating Detail'!G13/1792</f>
        <v>65.464000000000013</v>
      </c>
      <c r="H26" s="292">
        <f>'3. Current Home Heating Detail'!H13/1792</f>
        <v>0</v>
      </c>
      <c r="I26" s="292">
        <f>'3. Current Home Heating Detail'!I13/1792</f>
        <v>57.281000000000013</v>
      </c>
      <c r="J26" s="292">
        <f>'3. Current Home Heating Detail'!J13/1792</f>
        <v>2.0040000000000004</v>
      </c>
      <c r="K26" s="292">
        <f>'3. Current Home Heating Detail'!K13/1792</f>
        <v>1.0020000000000002</v>
      </c>
      <c r="L26" s="313">
        <f>'3. Current Home Heating Detail'!L13/1792</f>
        <v>2.0040000000000004</v>
      </c>
      <c r="M26" s="390" t="s">
        <v>349</v>
      </c>
      <c r="N26" s="391"/>
    </row>
    <row r="27" spans="2:17" ht="48" customHeight="1">
      <c r="B27" s="327"/>
      <c r="C27" s="322" t="s">
        <v>348</v>
      </c>
      <c r="D27" s="314">
        <f>'3. Current Home Heating Detail'!D14/995</f>
        <v>0</v>
      </c>
      <c r="E27" s="309">
        <f>'3. Current Home Heating Detail'!E14/995</f>
        <v>2.9</v>
      </c>
      <c r="F27" s="309">
        <f>'3. Current Home Heating Detail'!F14/995</f>
        <v>1.8</v>
      </c>
      <c r="G27" s="309">
        <f>'3. Current Home Heating Detail'!G14/995</f>
        <v>7.84</v>
      </c>
      <c r="H27" s="309">
        <f>'3. Current Home Heating Detail'!H14/995</f>
        <v>0</v>
      </c>
      <c r="I27" s="309">
        <f>'3. Current Home Heating Detail'!I14/995</f>
        <v>6.86</v>
      </c>
      <c r="J27" s="309">
        <f>'3. Current Home Heating Detail'!J14/995</f>
        <v>0.24000000000000002</v>
      </c>
      <c r="K27" s="309">
        <f>'3. Current Home Heating Detail'!K14/995</f>
        <v>0.12000000000000001</v>
      </c>
      <c r="L27" s="315">
        <f>'3. Current Home Heating Detail'!L14/995</f>
        <v>0.24000000000000002</v>
      </c>
      <c r="M27" s="390" t="s">
        <v>349</v>
      </c>
      <c r="N27" s="391"/>
    </row>
    <row r="28" spans="2:17" ht="48" customHeight="1">
      <c r="B28" s="327"/>
      <c r="C28" s="322" t="s">
        <v>345</v>
      </c>
      <c r="D28" s="316">
        <f>'3. Current Home Heating Detail'!D37</f>
        <v>0</v>
      </c>
      <c r="E28" s="311">
        <f>'3. Current Home Heating Detail'!E37</f>
        <v>0.14499999999999996</v>
      </c>
      <c r="F28" s="311">
        <f>'3. Current Home Heating Detail'!F37</f>
        <v>8.9999999999999969E-2</v>
      </c>
      <c r="G28" s="311">
        <f>'3. Current Home Heating Detail'!G37</f>
        <v>0.39199999999999996</v>
      </c>
      <c r="H28" s="311">
        <f>'3. Current Home Heating Detail'!H37</f>
        <v>0</v>
      </c>
      <c r="I28" s="311">
        <f>'3. Current Home Heating Detail'!I37</f>
        <v>0.34299999999999997</v>
      </c>
      <c r="J28" s="311">
        <f>'3. Current Home Heating Detail'!J37</f>
        <v>1.1999999999999997E-2</v>
      </c>
      <c r="K28" s="311">
        <f>'3. Current Home Heating Detail'!K37</f>
        <v>5.9999999999999984E-3</v>
      </c>
      <c r="L28" s="317">
        <f>'3. Current Home Heating Detail'!L37</f>
        <v>1.1999999999999997E-2</v>
      </c>
      <c r="M28" s="310"/>
      <c r="N28" s="328"/>
    </row>
    <row r="29" spans="2:17" ht="48" customHeight="1">
      <c r="B29" s="327"/>
      <c r="C29" s="323" t="s">
        <v>346</v>
      </c>
      <c r="D29" s="318">
        <f>'3. Current Home Heating Detail'!D38</f>
        <v>0</v>
      </c>
      <c r="E29" s="319">
        <f>'3. Current Home Heating Detail'!E38</f>
        <v>0.14499999999999999</v>
      </c>
      <c r="F29" s="319">
        <f>'3. Current Home Heating Detail'!F38</f>
        <v>0.09</v>
      </c>
      <c r="G29" s="319">
        <f>'3. Current Home Heating Detail'!G38</f>
        <v>0.39200000000000002</v>
      </c>
      <c r="H29" s="319">
        <f>'3. Current Home Heating Detail'!H38</f>
        <v>0</v>
      </c>
      <c r="I29" s="319">
        <f>'3. Current Home Heating Detail'!I38</f>
        <v>0.34300000000000003</v>
      </c>
      <c r="J29" s="319">
        <f>'3. Current Home Heating Detail'!J38</f>
        <v>1.2E-2</v>
      </c>
      <c r="K29" s="319">
        <f>'3. Current Home Heating Detail'!K38</f>
        <v>6.0000000000000001E-3</v>
      </c>
      <c r="L29" s="320">
        <f>'3. Current Home Heating Detail'!L38</f>
        <v>1.2E-2</v>
      </c>
      <c r="M29" s="310"/>
      <c r="N29" s="328"/>
    </row>
    <row r="30" spans="2:17" ht="15" customHeight="1" thickBot="1">
      <c r="B30" s="329"/>
      <c r="C30" s="330"/>
      <c r="D30" s="331"/>
      <c r="E30" s="331"/>
      <c r="F30" s="331"/>
      <c r="G30" s="331"/>
      <c r="H30" s="331"/>
      <c r="I30" s="331"/>
      <c r="J30" s="331"/>
      <c r="K30" s="331"/>
      <c r="L30" s="331"/>
      <c r="M30" s="332"/>
      <c r="N30" s="333"/>
    </row>
    <row r="31" spans="2:17" ht="15.75" thickBot="1">
      <c r="B31" s="71"/>
      <c r="C31" s="68"/>
      <c r="D31" s="68"/>
      <c r="E31" s="68"/>
      <c r="F31" s="68"/>
      <c r="G31" s="68"/>
      <c r="H31" s="68"/>
      <c r="I31" s="68"/>
      <c r="J31" s="68"/>
      <c r="K31" s="68"/>
      <c r="L31" s="68"/>
      <c r="M31" s="68"/>
      <c r="N31" s="68"/>
    </row>
    <row r="32" spans="2:17" ht="42" customHeight="1">
      <c r="B32" s="402" t="s">
        <v>350</v>
      </c>
      <c r="C32" s="403"/>
      <c r="D32" s="403"/>
      <c r="E32" s="403"/>
      <c r="F32" s="403"/>
      <c r="G32" s="403"/>
      <c r="H32" s="403"/>
      <c r="I32" s="403"/>
      <c r="J32" s="403"/>
      <c r="K32" s="403"/>
      <c r="L32" s="403"/>
      <c r="M32" s="403"/>
      <c r="N32" s="404"/>
    </row>
    <row r="33" spans="2:15" ht="36.75" customHeight="1">
      <c r="B33" s="415" t="s">
        <v>199</v>
      </c>
      <c r="C33" s="416"/>
      <c r="D33" s="416"/>
      <c r="E33" s="416"/>
      <c r="F33" s="416"/>
      <c r="G33" s="416"/>
      <c r="H33" s="416"/>
      <c r="I33" s="416"/>
      <c r="J33" s="416"/>
      <c r="K33" s="416"/>
      <c r="L33" s="416"/>
      <c r="M33" s="416"/>
      <c r="N33" s="276">
        <f>'4. Current Electricity'!B24</f>
        <v>36870.348690841776</v>
      </c>
    </row>
    <row r="34" spans="2:15" ht="36.75" customHeight="1">
      <c r="B34" s="415" t="s">
        <v>200</v>
      </c>
      <c r="C34" s="416"/>
      <c r="D34" s="416"/>
      <c r="E34" s="416"/>
      <c r="F34" s="416"/>
      <c r="G34" s="416"/>
      <c r="H34" s="416"/>
      <c r="I34" s="416"/>
      <c r="J34" s="416"/>
      <c r="K34" s="416"/>
      <c r="L34" s="416"/>
      <c r="M34" s="416"/>
      <c r="N34" s="276">
        <f>'4. Current Electricity'!B25</f>
        <v>10805593.090824999</v>
      </c>
    </row>
    <row r="35" spans="2:15" ht="36.75" customHeight="1">
      <c r="B35" s="417" t="s">
        <v>201</v>
      </c>
      <c r="C35" s="418"/>
      <c r="D35" s="418"/>
      <c r="E35" s="418"/>
      <c r="F35" s="418"/>
      <c r="G35" s="418"/>
      <c r="H35" s="418"/>
      <c r="I35" s="418"/>
      <c r="J35" s="418"/>
      <c r="K35" s="418"/>
      <c r="L35" s="418"/>
      <c r="M35" s="418"/>
      <c r="N35" s="276">
        <f>'4. Current Electricity'!B27</f>
        <v>23368.318319128535</v>
      </c>
    </row>
    <row r="36" spans="2:15" ht="36.75" customHeight="1">
      <c r="B36" s="417" t="s">
        <v>202</v>
      </c>
      <c r="C36" s="418"/>
      <c r="D36" s="418"/>
      <c r="E36" s="418"/>
      <c r="F36" s="418"/>
      <c r="G36" s="418"/>
      <c r="H36" s="418"/>
      <c r="I36" s="418"/>
      <c r="J36" s="418"/>
      <c r="K36" s="418"/>
      <c r="L36" s="418"/>
      <c r="M36" s="418"/>
      <c r="N36" s="276">
        <f>'4. Current Electricity'!B29</f>
        <v>13502.030371713243</v>
      </c>
    </row>
    <row r="37" spans="2:15" ht="36.75" customHeight="1" thickBot="1">
      <c r="B37" s="419" t="s">
        <v>354</v>
      </c>
      <c r="C37" s="420"/>
      <c r="D37" s="420"/>
      <c r="E37" s="420"/>
      <c r="F37" s="420"/>
      <c r="G37" s="420"/>
      <c r="H37" s="420"/>
      <c r="I37" s="420"/>
      <c r="J37" s="420"/>
      <c r="K37" s="420"/>
      <c r="L37" s="420"/>
      <c r="M37" s="420"/>
      <c r="N37" s="285">
        <f>N34*0.1435</f>
        <v>1550602.6085333873</v>
      </c>
    </row>
    <row r="38" spans="2:15" ht="15.75" thickBot="1">
      <c r="B38" s="21"/>
      <c r="H38" s="278"/>
      <c r="I38" s="278"/>
      <c r="J38" s="278"/>
      <c r="K38" s="278"/>
      <c r="L38" s="278"/>
      <c r="M38" s="278"/>
      <c r="N38" s="278"/>
      <c r="O38" s="278"/>
    </row>
    <row r="39" spans="2:15" ht="39.75" customHeight="1">
      <c r="B39" s="436" t="s">
        <v>356</v>
      </c>
      <c r="C39" s="437"/>
      <c r="D39" s="437"/>
      <c r="E39" s="437"/>
      <c r="F39" s="437"/>
      <c r="G39" s="438"/>
      <c r="H39" s="334"/>
      <c r="I39" s="334"/>
      <c r="J39" s="334"/>
      <c r="K39" s="334"/>
      <c r="L39" s="334"/>
      <c r="M39" s="334"/>
      <c r="N39" s="334"/>
      <c r="O39" s="278"/>
    </row>
    <row r="40" spans="2:15" ht="27" customHeight="1">
      <c r="B40" s="182">
        <f>N34*0.1435</f>
        <v>1550602.6085333873</v>
      </c>
      <c r="C40" s="431" t="s">
        <v>209</v>
      </c>
      <c r="D40" s="431"/>
      <c r="E40" s="431"/>
      <c r="F40" s="431"/>
      <c r="G40" s="439"/>
      <c r="H40" s="278"/>
      <c r="I40" s="278"/>
      <c r="J40" s="278"/>
      <c r="K40" s="278"/>
      <c r="L40" s="278"/>
      <c r="M40" s="278"/>
      <c r="N40" s="278"/>
      <c r="O40" s="278"/>
    </row>
    <row r="41" spans="2:15" ht="27" customHeight="1">
      <c r="B41" s="182">
        <f>B69</f>
        <v>603278.49063420726</v>
      </c>
      <c r="C41" s="431" t="s">
        <v>355</v>
      </c>
      <c r="D41" s="431"/>
      <c r="E41" s="431"/>
      <c r="F41" s="431"/>
      <c r="G41" s="439"/>
      <c r="H41" s="278"/>
      <c r="I41" s="278"/>
      <c r="J41" s="278"/>
      <c r="K41" s="278"/>
      <c r="L41" s="278"/>
      <c r="M41" s="278"/>
      <c r="N41" s="278"/>
      <c r="O41" s="278"/>
    </row>
    <row r="42" spans="2:15" ht="27" customHeight="1">
      <c r="B42" s="182">
        <f>N11*2.3428</f>
        <v>388933.93857499992</v>
      </c>
      <c r="C42" s="431" t="s">
        <v>210</v>
      </c>
      <c r="D42" s="431"/>
      <c r="E42" s="431"/>
      <c r="F42" s="431"/>
      <c r="G42" s="439"/>
      <c r="H42" s="278"/>
      <c r="I42" s="278"/>
      <c r="J42" s="278"/>
      <c r="K42" s="278"/>
      <c r="L42" s="278"/>
      <c r="M42" s="278"/>
      <c r="N42" s="278"/>
      <c r="O42" s="278"/>
    </row>
    <row r="43" spans="2:15" ht="27" customHeight="1" thickBot="1">
      <c r="B43" s="335">
        <f>SUM(B40:B42)</f>
        <v>2542815.0377425947</v>
      </c>
      <c r="C43" s="440" t="s">
        <v>223</v>
      </c>
      <c r="D43" s="440"/>
      <c r="E43" s="440"/>
      <c r="F43" s="440"/>
      <c r="G43" s="441"/>
      <c r="H43" s="278"/>
      <c r="I43" s="278"/>
      <c r="J43" s="278"/>
      <c r="K43" s="278"/>
      <c r="L43" s="278"/>
      <c r="M43" s="278"/>
      <c r="N43" s="278"/>
      <c r="O43" s="278"/>
    </row>
    <row r="44" spans="2:15" ht="15.75" thickBot="1">
      <c r="C44" s="181"/>
      <c r="D44" s="181"/>
      <c r="E44" s="181"/>
      <c r="F44" s="181"/>
      <c r="G44" s="181"/>
      <c r="H44" s="278"/>
      <c r="I44" s="278"/>
      <c r="J44" s="278"/>
      <c r="K44" s="278"/>
      <c r="L44" s="278"/>
      <c r="M44" s="278"/>
      <c r="N44" s="278"/>
      <c r="O44" s="278"/>
    </row>
    <row r="45" spans="2:15" ht="38.25" customHeight="1">
      <c r="B45" s="442" t="s">
        <v>358</v>
      </c>
      <c r="C45" s="437"/>
      <c r="D45" s="437"/>
      <c r="E45" s="437"/>
      <c r="F45" s="437"/>
      <c r="G45" s="438"/>
      <c r="H45" s="278"/>
      <c r="I45" s="278"/>
      <c r="J45" s="278"/>
      <c r="K45" s="278"/>
      <c r="L45" s="278"/>
      <c r="M45" s="278"/>
      <c r="N45" s="278"/>
      <c r="O45" s="278"/>
    </row>
    <row r="46" spans="2:15" ht="25.5" customHeight="1">
      <c r="B46" s="336">
        <f>N33</f>
        <v>36870.348690841776</v>
      </c>
      <c r="C46" s="431" t="s">
        <v>23</v>
      </c>
      <c r="D46" s="431"/>
      <c r="E46" s="431"/>
      <c r="F46" s="431"/>
      <c r="G46" s="439"/>
    </row>
    <row r="47" spans="2:15" ht="25.5" customHeight="1">
      <c r="B47" s="336">
        <f>N18</f>
        <v>27033.414573927676</v>
      </c>
      <c r="C47" s="431" t="s">
        <v>203</v>
      </c>
      <c r="D47" s="431"/>
      <c r="E47" s="431"/>
      <c r="F47" s="431"/>
      <c r="G47" s="439"/>
    </row>
    <row r="48" spans="2:15" ht="25.5" customHeight="1">
      <c r="B48" s="336">
        <f>N9</f>
        <v>21919.323426135412</v>
      </c>
      <c r="C48" s="431" t="s">
        <v>204</v>
      </c>
      <c r="D48" s="431"/>
      <c r="E48" s="431"/>
      <c r="F48" s="431"/>
      <c r="G48" s="439"/>
    </row>
    <row r="49" spans="2:17" ht="25.5" customHeight="1" thickBot="1">
      <c r="B49" s="337">
        <f>SUM(B46:B48)</f>
        <v>85823.086690904864</v>
      </c>
      <c r="C49" s="440" t="s">
        <v>357</v>
      </c>
      <c r="D49" s="440"/>
      <c r="E49" s="440"/>
      <c r="F49" s="440"/>
      <c r="G49" s="441"/>
    </row>
    <row r="50" spans="2:17">
      <c r="B50" s="21"/>
    </row>
    <row r="51" spans="2:17" ht="15" customHeight="1" thickBot="1">
      <c r="O51" s="282"/>
      <c r="P51" s="282"/>
      <c r="Q51" s="278"/>
    </row>
    <row r="52" spans="2:17" ht="15.75" thickBot="1">
      <c r="B52" s="443" t="s">
        <v>284</v>
      </c>
      <c r="C52" s="444"/>
      <c r="D52" s="444"/>
      <c r="E52" s="444"/>
      <c r="F52" s="444"/>
      <c r="G52" s="444"/>
      <c r="H52" s="444"/>
      <c r="I52" s="444"/>
      <c r="J52" s="444"/>
      <c r="K52" s="444"/>
      <c r="L52" s="444"/>
      <c r="M52" s="444"/>
      <c r="N52" s="445"/>
      <c r="O52" s="282"/>
      <c r="P52" s="282"/>
      <c r="Q52" s="278"/>
    </row>
    <row r="53" spans="2:17" ht="15" customHeight="1">
      <c r="O53" s="281"/>
      <c r="P53" s="281"/>
      <c r="Q53" s="278"/>
    </row>
    <row r="54" spans="2:17" ht="36.75" customHeight="1">
      <c r="B54" s="421" t="s">
        <v>214</v>
      </c>
      <c r="C54" s="422"/>
      <c r="D54" s="422"/>
      <c r="E54" s="422"/>
      <c r="F54" s="422"/>
      <c r="G54" s="422"/>
      <c r="H54" s="422"/>
      <c r="I54" s="422"/>
      <c r="J54" s="422"/>
      <c r="K54" s="422"/>
      <c r="L54" s="422"/>
      <c r="M54" s="422"/>
      <c r="N54" s="423"/>
      <c r="O54" s="281"/>
      <c r="P54" s="281"/>
      <c r="Q54" s="278"/>
    </row>
    <row r="55" spans="2:17">
      <c r="B55" s="427"/>
      <c r="C55" s="428"/>
      <c r="D55" s="428"/>
      <c r="E55" s="428"/>
      <c r="F55" s="428"/>
      <c r="G55" s="428"/>
      <c r="H55" s="428"/>
      <c r="I55" s="428"/>
      <c r="J55" s="428"/>
      <c r="K55" s="428"/>
      <c r="L55" s="428"/>
      <c r="M55" s="428"/>
      <c r="N55" s="429"/>
      <c r="O55" s="281"/>
      <c r="P55" s="281"/>
      <c r="Q55" s="278"/>
    </row>
    <row r="56" spans="2:17" ht="70.5" customHeight="1">
      <c r="B56" s="424" t="s">
        <v>215</v>
      </c>
      <c r="C56" s="425"/>
      <c r="D56" s="425"/>
      <c r="E56" s="425"/>
      <c r="F56" s="425"/>
      <c r="G56" s="425"/>
      <c r="H56" s="425"/>
      <c r="I56" s="425"/>
      <c r="J56" s="425"/>
      <c r="K56" s="425"/>
      <c r="L56" s="425"/>
      <c r="M56" s="425"/>
      <c r="N56" s="426"/>
      <c r="O56" s="281"/>
      <c r="P56" s="281"/>
      <c r="Q56" s="278"/>
    </row>
    <row r="57" spans="2:17">
      <c r="B57" s="424"/>
      <c r="C57" s="425"/>
      <c r="D57" s="425"/>
      <c r="E57" s="425"/>
      <c r="F57" s="425"/>
      <c r="G57" s="425"/>
      <c r="H57" s="425"/>
      <c r="I57" s="425"/>
      <c r="J57" s="425"/>
      <c r="K57" s="425"/>
      <c r="L57" s="425"/>
      <c r="M57" s="425"/>
      <c r="N57" s="426"/>
      <c r="O57" s="278"/>
      <c r="P57" s="278"/>
      <c r="Q57" s="278"/>
    </row>
    <row r="58" spans="2:17">
      <c r="B58" s="430" t="s">
        <v>221</v>
      </c>
      <c r="C58" s="431"/>
      <c r="D58" s="431"/>
      <c r="E58" s="431"/>
      <c r="F58" s="431"/>
      <c r="G58" s="431"/>
      <c r="H58" s="431"/>
      <c r="I58" s="431"/>
      <c r="J58" s="431"/>
      <c r="K58" s="431"/>
      <c r="L58" s="431"/>
      <c r="M58" s="431"/>
      <c r="N58" s="432"/>
      <c r="O58" s="278"/>
      <c r="P58" s="278"/>
      <c r="Q58" s="278"/>
    </row>
    <row r="59" spans="2:17">
      <c r="B59" s="433"/>
      <c r="C59" s="434"/>
      <c r="D59" s="434"/>
      <c r="E59" s="434"/>
      <c r="F59" s="434"/>
      <c r="G59" s="434"/>
      <c r="H59" s="434"/>
      <c r="I59" s="434"/>
      <c r="J59" s="434"/>
      <c r="K59" s="434"/>
      <c r="L59" s="434"/>
      <c r="M59" s="434"/>
      <c r="N59" s="435"/>
    </row>
    <row r="61" spans="2:17" ht="45">
      <c r="B61" s="338" t="s">
        <v>212</v>
      </c>
      <c r="C61" s="339" t="s">
        <v>267</v>
      </c>
      <c r="D61" s="339" t="s">
        <v>213</v>
      </c>
      <c r="E61" s="339" t="s">
        <v>268</v>
      </c>
      <c r="F61" s="340" t="s">
        <v>218</v>
      </c>
      <c r="G61" s="121"/>
    </row>
    <row r="62" spans="2:17" ht="15.75">
      <c r="B62" s="279" t="s">
        <v>216</v>
      </c>
      <c r="C62" s="341">
        <v>20.93</v>
      </c>
      <c r="D62" s="341">
        <v>0.52</v>
      </c>
      <c r="E62" s="342">
        <f>D62*B68</f>
        <v>14057.375578442392</v>
      </c>
      <c r="F62" s="343">
        <f>E62*C62</f>
        <v>294220.87085679924</v>
      </c>
    </row>
    <row r="63" spans="2:17" ht="15.75">
      <c r="B63" s="279" t="s">
        <v>211</v>
      </c>
      <c r="C63" s="341">
        <v>34.06</v>
      </c>
      <c r="D63" s="341">
        <v>0.14799999999999999</v>
      </c>
      <c r="E63" s="342">
        <f>D63*B68</f>
        <v>4000.9453569412958</v>
      </c>
      <c r="F63" s="343">
        <f>E63*C63</f>
        <v>136272.19885742053</v>
      </c>
    </row>
    <row r="64" spans="2:17" ht="15.75">
      <c r="B64" s="279" t="s">
        <v>9</v>
      </c>
      <c r="C64" s="341">
        <v>17.420000000000002</v>
      </c>
      <c r="D64" s="341">
        <v>0.01</v>
      </c>
      <c r="E64" s="342">
        <f>D64*B68</f>
        <v>270.33414573927678</v>
      </c>
      <c r="F64" s="343">
        <f>E64*C64</f>
        <v>4709.2208187782016</v>
      </c>
    </row>
    <row r="65" spans="2:6" ht="15.75">
      <c r="B65" s="279" t="s">
        <v>23</v>
      </c>
      <c r="C65" s="341">
        <v>43.46</v>
      </c>
      <c r="D65" s="341">
        <v>0.05</v>
      </c>
      <c r="E65" s="342">
        <f>D65*B68</f>
        <v>1351.6707286963838</v>
      </c>
      <c r="F65" s="343">
        <f>E65*C65</f>
        <v>58743.609869144842</v>
      </c>
    </row>
    <row r="66" spans="2:6" ht="15.75">
      <c r="B66" s="280" t="s">
        <v>217</v>
      </c>
      <c r="C66" s="344">
        <v>17.21</v>
      </c>
      <c r="D66" s="344">
        <v>0.23499999999999999</v>
      </c>
      <c r="E66" s="345">
        <f>D66*B68</f>
        <v>6352.8524248730037</v>
      </c>
      <c r="F66" s="346">
        <f>E66*C66</f>
        <v>109332.59023206439</v>
      </c>
    </row>
    <row r="68" spans="2:6">
      <c r="B68" s="123">
        <f>N18</f>
        <v>27033.414573927676</v>
      </c>
      <c r="C68" s="176" t="s">
        <v>219</v>
      </c>
    </row>
    <row r="69" spans="2:6" ht="15.75">
      <c r="B69" s="122">
        <f>SUM(F62:F66)</f>
        <v>603278.49063420726</v>
      </c>
      <c r="C69" s="176" t="s">
        <v>220</v>
      </c>
    </row>
  </sheetData>
  <mergeCells count="46">
    <mergeCell ref="B58:N58"/>
    <mergeCell ref="B59:N59"/>
    <mergeCell ref="B39:G39"/>
    <mergeCell ref="C40:G40"/>
    <mergeCell ref="C41:G41"/>
    <mergeCell ref="C42:G42"/>
    <mergeCell ref="C43:G43"/>
    <mergeCell ref="B45:G45"/>
    <mergeCell ref="C46:G46"/>
    <mergeCell ref="C47:G47"/>
    <mergeCell ref="C48:G48"/>
    <mergeCell ref="C49:G49"/>
    <mergeCell ref="B52:N52"/>
    <mergeCell ref="B37:M37"/>
    <mergeCell ref="B54:N54"/>
    <mergeCell ref="B56:N56"/>
    <mergeCell ref="B55:N55"/>
    <mergeCell ref="B57:N57"/>
    <mergeCell ref="B33:M33"/>
    <mergeCell ref="B34:M34"/>
    <mergeCell ref="B35:M35"/>
    <mergeCell ref="B36:M36"/>
    <mergeCell ref="B32:N32"/>
    <mergeCell ref="M27:N27"/>
    <mergeCell ref="B19:M19"/>
    <mergeCell ref="B20:M20"/>
    <mergeCell ref="B21:M21"/>
    <mergeCell ref="B15:M15"/>
    <mergeCell ref="B16:M16"/>
    <mergeCell ref="B17:M17"/>
    <mergeCell ref="B18:M18"/>
    <mergeCell ref="B23:N23"/>
    <mergeCell ref="B22:N22"/>
    <mergeCell ref="B11:M11"/>
    <mergeCell ref="D24:L24"/>
    <mergeCell ref="M26:N26"/>
    <mergeCell ref="B12:M12"/>
    <mergeCell ref="B2:N2"/>
    <mergeCell ref="B4:N4"/>
    <mergeCell ref="B9:M9"/>
    <mergeCell ref="B10:M10"/>
    <mergeCell ref="B14:N14"/>
    <mergeCell ref="B5:M5"/>
    <mergeCell ref="B6:M6"/>
    <mergeCell ref="B7:M7"/>
    <mergeCell ref="B8:M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N69"/>
  <sheetViews>
    <sheetView topLeftCell="A13" workbookViewId="0">
      <selection activeCell="B34" sqref="B34"/>
    </sheetView>
  </sheetViews>
  <sheetFormatPr defaultColWidth="8.85546875" defaultRowHeight="15.75"/>
  <cols>
    <col min="1" max="1" width="3.28515625" style="27" customWidth="1"/>
    <col min="2" max="2" width="15.85546875" style="294" customWidth="1"/>
    <col min="3" max="14" width="15.85546875" customWidth="1"/>
  </cols>
  <sheetData>
    <row r="1" spans="1:14" ht="14.25" customHeight="1" thickBot="1">
      <c r="B1" s="293"/>
    </row>
    <row r="2" spans="1:14" ht="30.75" customHeight="1">
      <c r="B2" s="446" t="s">
        <v>277</v>
      </c>
      <c r="C2" s="447"/>
      <c r="D2" s="447"/>
      <c r="E2" s="447"/>
      <c r="F2" s="447"/>
      <c r="G2" s="447"/>
      <c r="H2" s="447"/>
      <c r="I2" s="447"/>
      <c r="J2" s="447"/>
      <c r="K2" s="447"/>
      <c r="L2" s="447"/>
      <c r="M2" s="447"/>
      <c r="N2" s="448"/>
    </row>
    <row r="3" spans="1:14" ht="30.75" customHeight="1">
      <c r="B3" s="449"/>
      <c r="C3" s="450"/>
      <c r="D3" s="450"/>
      <c r="E3" s="450"/>
      <c r="F3" s="450"/>
      <c r="G3" s="450"/>
      <c r="H3" s="450"/>
      <c r="I3" s="450"/>
      <c r="J3" s="450"/>
      <c r="K3" s="450"/>
      <c r="L3" s="450"/>
      <c r="M3" s="450"/>
      <c r="N3" s="451"/>
    </row>
    <row r="4" spans="1:14" ht="30.75" customHeight="1" thickBot="1">
      <c r="B4" s="452"/>
      <c r="C4" s="453"/>
      <c r="D4" s="453"/>
      <c r="E4" s="453"/>
      <c r="F4" s="453"/>
      <c r="G4" s="453"/>
      <c r="H4" s="453"/>
      <c r="I4" s="453"/>
      <c r="J4" s="453"/>
      <c r="K4" s="453"/>
      <c r="L4" s="453"/>
      <c r="M4" s="453"/>
      <c r="N4" s="454"/>
    </row>
    <row r="6" spans="1:14" s="120" customFormat="1" ht="40.5" customHeight="1">
      <c r="A6" s="199"/>
      <c r="B6" s="307">
        <f>SUM(B27,B39)</f>
        <v>21919.323426135412</v>
      </c>
      <c r="C6" s="460" t="s">
        <v>274</v>
      </c>
      <c r="D6" s="461"/>
      <c r="E6" s="461"/>
      <c r="F6" s="461"/>
      <c r="G6" s="461"/>
      <c r="H6" s="461"/>
      <c r="I6" s="461"/>
      <c r="J6" s="461"/>
      <c r="K6" s="461"/>
      <c r="L6" s="461"/>
      <c r="M6" s="461"/>
      <c r="N6" s="461"/>
    </row>
    <row r="7" spans="1:14" ht="16.5" thickBot="1"/>
    <row r="8" spans="1:14" ht="21" customHeight="1" thickBot="1">
      <c r="B8" s="295"/>
      <c r="C8" s="187" t="s">
        <v>85</v>
      </c>
      <c r="D8" s="128"/>
      <c r="E8" s="128"/>
      <c r="F8" s="128"/>
      <c r="G8" s="128"/>
      <c r="H8" s="128"/>
      <c r="I8" s="128"/>
      <c r="J8" s="128"/>
      <c r="K8" s="128"/>
      <c r="L8" s="128"/>
      <c r="M8" s="128"/>
      <c r="N8" s="129"/>
    </row>
    <row r="9" spans="1:14">
      <c r="C9" s="22"/>
    </row>
    <row r="10" spans="1:14" ht="39" customHeight="1">
      <c r="B10" s="296">
        <f>'(A) Workspace- # of Cars'!B13</f>
        <v>321.07899999999995</v>
      </c>
      <c r="C10" s="462" t="s">
        <v>319</v>
      </c>
      <c r="D10" s="463"/>
      <c r="E10" s="463"/>
      <c r="F10" s="463"/>
      <c r="G10" s="463"/>
      <c r="H10" s="463"/>
      <c r="I10" s="463"/>
      <c r="J10" s="463"/>
      <c r="K10" s="463"/>
      <c r="L10" s="463"/>
      <c r="M10" s="463"/>
      <c r="N10" s="463"/>
    </row>
    <row r="11" spans="1:14" ht="24" customHeight="1">
      <c r="B11" s="297"/>
      <c r="C11" s="26"/>
      <c r="D11" s="64" t="s">
        <v>70</v>
      </c>
      <c r="E11" s="464" t="s">
        <v>73</v>
      </c>
      <c r="F11" s="464"/>
      <c r="G11" s="456" t="s">
        <v>198</v>
      </c>
      <c r="H11" s="456"/>
      <c r="I11" s="456"/>
      <c r="J11" s="456"/>
      <c r="K11" s="456"/>
      <c r="L11" s="456"/>
      <c r="M11" s="456"/>
      <c r="N11" s="456"/>
    </row>
    <row r="12" spans="1:14" ht="24" customHeight="1">
      <c r="B12" s="297"/>
      <c r="C12" s="26"/>
      <c r="D12" s="64"/>
      <c r="E12" s="456" t="s">
        <v>74</v>
      </c>
      <c r="F12" s="456"/>
      <c r="G12" s="456" t="s">
        <v>114</v>
      </c>
      <c r="H12" s="456"/>
      <c r="I12" s="456"/>
      <c r="J12" s="456"/>
      <c r="K12" s="456"/>
      <c r="L12" s="456"/>
      <c r="M12" s="456"/>
      <c r="N12" s="456"/>
    </row>
    <row r="13" spans="1:14" ht="24" customHeight="1">
      <c r="B13" s="297"/>
      <c r="C13" s="26"/>
      <c r="D13" s="64" t="s">
        <v>71</v>
      </c>
      <c r="E13" s="456" t="s">
        <v>72</v>
      </c>
      <c r="F13" s="456"/>
      <c r="G13" s="456"/>
      <c r="H13" s="456"/>
      <c r="I13" s="456"/>
      <c r="J13" s="456"/>
      <c r="K13" s="456"/>
      <c r="L13" s="456"/>
      <c r="M13" s="456"/>
      <c r="N13" s="456"/>
    </row>
    <row r="14" spans="1:14" ht="39" customHeight="1">
      <c r="B14" s="298">
        <v>12500</v>
      </c>
      <c r="C14" s="462" t="s">
        <v>121</v>
      </c>
      <c r="D14" s="463"/>
      <c r="E14" s="463"/>
      <c r="F14" s="463"/>
      <c r="G14" s="463"/>
      <c r="H14" s="463"/>
      <c r="I14" s="463"/>
      <c r="J14" s="463"/>
      <c r="K14" s="463"/>
      <c r="L14" s="463"/>
      <c r="M14" s="463"/>
      <c r="N14" s="463"/>
    </row>
    <row r="15" spans="1:14" ht="39" customHeight="1">
      <c r="B15" s="298">
        <v>22</v>
      </c>
      <c r="C15" s="462" t="s">
        <v>118</v>
      </c>
      <c r="D15" s="463"/>
      <c r="E15" s="463"/>
      <c r="F15" s="463"/>
      <c r="G15" s="463"/>
      <c r="H15" s="463"/>
      <c r="I15" s="463"/>
      <c r="J15" s="463"/>
      <c r="K15" s="463"/>
      <c r="L15" s="463"/>
      <c r="M15" s="463"/>
      <c r="N15" s="463"/>
    </row>
    <row r="16" spans="1:14" s="61" customFormat="1" ht="28.5" customHeight="1">
      <c r="A16" s="60"/>
      <c r="B16" s="299"/>
      <c r="D16" s="62">
        <v>0.4</v>
      </c>
      <c r="E16" s="465" t="s">
        <v>116</v>
      </c>
      <c r="F16" s="465"/>
      <c r="G16" s="465"/>
      <c r="H16" s="465"/>
      <c r="I16" s="465"/>
      <c r="J16" s="465"/>
      <c r="K16" s="465"/>
      <c r="L16" s="465"/>
      <c r="M16" s="465"/>
      <c r="N16" s="465"/>
    </row>
    <row r="17" spans="1:14" s="61" customFormat="1" ht="28.5" customHeight="1">
      <c r="A17" s="60"/>
      <c r="B17" s="299"/>
      <c r="D17" s="62">
        <f>150000/B48</f>
        <v>0.25695051133151753</v>
      </c>
      <c r="E17" s="465" t="s">
        <v>117</v>
      </c>
      <c r="F17" s="465"/>
      <c r="G17" s="465"/>
      <c r="H17" s="465"/>
      <c r="I17" s="465"/>
      <c r="J17" s="465"/>
      <c r="K17" s="465"/>
      <c r="L17" s="465"/>
      <c r="M17" s="465"/>
      <c r="N17" s="465"/>
    </row>
    <row r="18" spans="1:14" s="61" customFormat="1" ht="28.5" customHeight="1">
      <c r="A18" s="60"/>
      <c r="B18" s="299"/>
      <c r="D18" s="62">
        <v>0.86</v>
      </c>
      <c r="E18" s="465" t="s">
        <v>115</v>
      </c>
      <c r="F18" s="465"/>
      <c r="G18" s="465"/>
      <c r="H18" s="465"/>
      <c r="I18" s="465"/>
      <c r="J18" s="465"/>
      <c r="K18" s="465"/>
      <c r="L18" s="465"/>
      <c r="M18" s="465"/>
      <c r="N18" s="465"/>
    </row>
    <row r="19" spans="1:14" ht="39" customHeight="1">
      <c r="B19" s="297">
        <f>B10*B14/B15</f>
        <v>182431.24999999997</v>
      </c>
      <c r="C19" s="456" t="s">
        <v>43</v>
      </c>
      <c r="D19" s="456"/>
      <c r="E19" s="456"/>
      <c r="F19" s="456"/>
      <c r="G19" s="456"/>
      <c r="H19" s="456"/>
      <c r="I19" s="456"/>
      <c r="J19" s="456"/>
      <c r="K19" s="456"/>
      <c r="L19" s="456"/>
      <c r="M19" s="456"/>
      <c r="N19" s="456"/>
    </row>
    <row r="20" spans="1:14" ht="39" customHeight="1">
      <c r="B20" s="300">
        <v>0.09</v>
      </c>
      <c r="C20" s="462" t="s">
        <v>119</v>
      </c>
      <c r="D20" s="463"/>
      <c r="E20" s="463"/>
      <c r="F20" s="463"/>
      <c r="G20" s="463"/>
      <c r="H20" s="463"/>
      <c r="I20" s="463"/>
      <c r="J20" s="463"/>
      <c r="K20" s="463"/>
      <c r="L20" s="463"/>
      <c r="M20" s="463"/>
      <c r="N20" s="463"/>
    </row>
    <row r="21" spans="1:14" s="120" customFormat="1" ht="39" customHeight="1">
      <c r="A21" s="199"/>
      <c r="B21" s="308">
        <f>(1-B20)*B19</f>
        <v>166012.43749999997</v>
      </c>
      <c r="C21" s="461" t="s">
        <v>89</v>
      </c>
      <c r="D21" s="461"/>
      <c r="E21" s="461"/>
      <c r="F21" s="461"/>
      <c r="G21" s="461"/>
      <c r="H21" s="461"/>
      <c r="I21" s="461"/>
      <c r="J21" s="461"/>
      <c r="K21" s="461"/>
      <c r="L21" s="461"/>
      <c r="M21" s="461"/>
      <c r="N21" s="461"/>
    </row>
    <row r="22" spans="1:14" ht="33" customHeight="1">
      <c r="B22" s="297">
        <f>fossilBtu</f>
        <v>121258.5</v>
      </c>
      <c r="C22" s="463" t="s">
        <v>122</v>
      </c>
      <c r="D22" s="463"/>
      <c r="E22" s="463"/>
      <c r="F22" s="463"/>
      <c r="G22" s="463"/>
      <c r="H22" s="463"/>
      <c r="I22" s="463"/>
      <c r="J22" s="463"/>
      <c r="K22" s="463"/>
      <c r="L22" s="463"/>
      <c r="M22" s="463"/>
      <c r="N22" s="463"/>
    </row>
    <row r="23" spans="1:14" ht="33" customHeight="1">
      <c r="B23" s="297">
        <f>B21*B22/1000000</f>
        <v>20130.419152593746</v>
      </c>
      <c r="C23" s="463" t="s">
        <v>78</v>
      </c>
      <c r="D23" s="463"/>
      <c r="E23" s="463"/>
      <c r="F23" s="463"/>
      <c r="G23" s="463"/>
      <c r="H23" s="463"/>
      <c r="I23" s="463"/>
      <c r="J23" s="463"/>
      <c r="K23" s="463"/>
      <c r="L23" s="463"/>
      <c r="M23" s="463"/>
      <c r="N23" s="463"/>
    </row>
    <row r="24" spans="1:14" ht="33" customHeight="1">
      <c r="B24" s="297">
        <f>B19-B21</f>
        <v>16418.8125</v>
      </c>
      <c r="C24" s="463" t="s">
        <v>82</v>
      </c>
      <c r="D24" s="463"/>
      <c r="E24" s="463"/>
      <c r="F24" s="463"/>
      <c r="G24" s="463"/>
      <c r="H24" s="463"/>
      <c r="I24" s="463"/>
      <c r="J24" s="463"/>
      <c r="K24" s="463"/>
      <c r="L24" s="463"/>
      <c r="M24" s="463"/>
      <c r="N24" s="463"/>
    </row>
    <row r="25" spans="1:14" ht="33" customHeight="1">
      <c r="B25" s="297">
        <v>84710</v>
      </c>
      <c r="C25" s="463" t="s">
        <v>83</v>
      </c>
      <c r="D25" s="463"/>
      <c r="E25" s="463"/>
      <c r="F25" s="463"/>
      <c r="G25" s="463"/>
      <c r="H25" s="463"/>
      <c r="I25" s="463"/>
      <c r="J25" s="463"/>
      <c r="K25" s="463"/>
      <c r="L25" s="463"/>
      <c r="M25" s="463"/>
      <c r="N25" s="463"/>
    </row>
    <row r="26" spans="1:14" ht="33" customHeight="1">
      <c r="B26" s="297">
        <f>B24*B25/1000000</f>
        <v>1390.8376068749999</v>
      </c>
      <c r="C26" s="463" t="s">
        <v>84</v>
      </c>
      <c r="D26" s="463"/>
      <c r="E26" s="463"/>
      <c r="F26" s="463"/>
      <c r="G26" s="463"/>
      <c r="H26" s="463"/>
      <c r="I26" s="463"/>
      <c r="J26" s="463"/>
      <c r="K26" s="463"/>
      <c r="L26" s="463"/>
      <c r="M26" s="463"/>
      <c r="N26" s="463"/>
    </row>
    <row r="27" spans="1:14" s="120" customFormat="1" ht="39" customHeight="1">
      <c r="A27" s="199"/>
      <c r="B27" s="307">
        <f>B23+B26</f>
        <v>21521.256759468746</v>
      </c>
      <c r="C27" s="460" t="s">
        <v>86</v>
      </c>
      <c r="D27" s="461"/>
      <c r="E27" s="461"/>
      <c r="F27" s="461"/>
      <c r="G27" s="461"/>
      <c r="H27" s="461"/>
      <c r="I27" s="461"/>
      <c r="J27" s="461"/>
      <c r="K27" s="461"/>
      <c r="L27" s="461"/>
      <c r="M27" s="461"/>
      <c r="N27" s="461"/>
    </row>
    <row r="28" spans="1:14" ht="16.5" thickBot="1">
      <c r="B28" s="297"/>
    </row>
    <row r="29" spans="1:14" ht="21" customHeight="1" thickBot="1">
      <c r="B29" s="301"/>
      <c r="C29" s="184" t="s">
        <v>91</v>
      </c>
      <c r="D29" s="128"/>
      <c r="E29" s="128"/>
      <c r="F29" s="128"/>
      <c r="G29" s="128"/>
      <c r="H29" s="128"/>
      <c r="I29" s="128"/>
      <c r="J29" s="128"/>
      <c r="K29" s="128"/>
      <c r="L29" s="128"/>
      <c r="M29" s="128"/>
      <c r="N29" s="129"/>
    </row>
    <row r="30" spans="1:14">
      <c r="B30" s="297"/>
      <c r="C30" s="47"/>
    </row>
    <row r="31" spans="1:14">
      <c r="B31" s="297" t="s">
        <v>278</v>
      </c>
      <c r="C31" s="22"/>
    </row>
    <row r="32" spans="1:14">
      <c r="B32" s="297"/>
      <c r="C32" s="22"/>
    </row>
    <row r="33" spans="1:14" ht="39" customHeight="1">
      <c r="B33" s="296">
        <v>50</v>
      </c>
      <c r="C33" s="455" t="s">
        <v>87</v>
      </c>
      <c r="D33" s="456"/>
      <c r="E33" s="456"/>
      <c r="F33" s="456"/>
      <c r="G33" s="456"/>
      <c r="H33" s="456"/>
      <c r="I33" s="456"/>
      <c r="J33" s="456"/>
      <c r="K33" s="456"/>
      <c r="L33" s="456"/>
      <c r="M33" s="456"/>
      <c r="N33" s="51"/>
    </row>
    <row r="34" spans="1:14" ht="39" customHeight="1">
      <c r="C34" s="51"/>
      <c r="D34" s="64" t="s">
        <v>70</v>
      </c>
      <c r="E34" s="63" t="s">
        <v>123</v>
      </c>
      <c r="F34" s="51"/>
      <c r="G34" s="51"/>
      <c r="H34" s="51"/>
      <c r="I34" s="51"/>
      <c r="J34" s="51"/>
      <c r="K34" s="51"/>
      <c r="L34" s="51"/>
      <c r="M34" s="51"/>
      <c r="N34" s="51"/>
    </row>
    <row r="35" spans="1:14" ht="39" customHeight="1">
      <c r="B35" s="297">
        <v>7000</v>
      </c>
      <c r="C35" s="456" t="s">
        <v>92</v>
      </c>
      <c r="D35" s="456"/>
      <c r="E35" s="456"/>
      <c r="F35" s="456"/>
      <c r="G35" s="456"/>
      <c r="H35" s="456"/>
      <c r="I35" s="456"/>
      <c r="J35" s="456"/>
      <c r="K35" s="456"/>
      <c r="L35" s="456"/>
      <c r="M35" s="456"/>
      <c r="N35" s="456"/>
    </row>
    <row r="36" spans="1:14" ht="39" customHeight="1">
      <c r="B36" s="297">
        <v>3</v>
      </c>
      <c r="C36" s="459" t="s">
        <v>90</v>
      </c>
      <c r="D36" s="459"/>
      <c r="E36" s="459"/>
      <c r="F36" s="459"/>
      <c r="G36" s="459"/>
      <c r="H36" s="459"/>
      <c r="I36" s="459"/>
      <c r="J36" s="459"/>
      <c r="K36" s="459"/>
      <c r="L36" s="459"/>
      <c r="M36" s="459"/>
      <c r="N36" s="459"/>
    </row>
    <row r="37" spans="1:14" ht="39" customHeight="1">
      <c r="B37" s="297">
        <f>B33*B35/B36</f>
        <v>116666.66666666667</v>
      </c>
      <c r="C37" s="456" t="s">
        <v>88</v>
      </c>
      <c r="D37" s="456"/>
      <c r="E37" s="456"/>
      <c r="F37" s="456"/>
      <c r="G37" s="456"/>
      <c r="H37" s="456"/>
      <c r="I37" s="456"/>
      <c r="J37" s="456"/>
      <c r="K37" s="456"/>
      <c r="L37" s="456"/>
      <c r="M37" s="456"/>
      <c r="N37" s="456"/>
    </row>
    <row r="38" spans="1:14" ht="39" customHeight="1">
      <c r="B38" s="297">
        <v>3412</v>
      </c>
      <c r="C38" s="456" t="s">
        <v>124</v>
      </c>
      <c r="D38" s="456"/>
      <c r="E38" s="456"/>
      <c r="F38" s="456"/>
      <c r="G38" s="456"/>
      <c r="H38" s="456"/>
      <c r="I38" s="456"/>
      <c r="J38" s="456"/>
      <c r="K38" s="456"/>
      <c r="L38" s="456"/>
      <c r="M38" s="456"/>
      <c r="N38" s="456"/>
    </row>
    <row r="39" spans="1:14" s="120" customFormat="1" ht="39" customHeight="1">
      <c r="A39" s="199"/>
      <c r="B39" s="307">
        <f>B37*B38/1000000</f>
        <v>398.06666666666666</v>
      </c>
      <c r="C39" s="457" t="s">
        <v>275</v>
      </c>
      <c r="D39" s="458"/>
      <c r="E39" s="458"/>
      <c r="F39" s="458"/>
      <c r="G39" s="458"/>
      <c r="H39" s="458"/>
      <c r="I39" s="458"/>
      <c r="J39" s="458"/>
      <c r="K39" s="458"/>
      <c r="L39" s="458"/>
      <c r="M39" s="458"/>
      <c r="N39" s="458"/>
    </row>
    <row r="40" spans="1:14">
      <c r="B40" s="297"/>
    </row>
    <row r="42" spans="1:14">
      <c r="B42" s="302"/>
      <c r="C42" s="186" t="s">
        <v>276</v>
      </c>
      <c r="D42" s="109"/>
      <c r="E42" s="109"/>
      <c r="F42" s="109"/>
      <c r="G42" s="109"/>
      <c r="H42" s="109"/>
      <c r="I42" s="109"/>
      <c r="J42" s="109"/>
      <c r="K42" s="109"/>
      <c r="L42" s="109"/>
      <c r="M42" s="109"/>
      <c r="N42" s="110"/>
    </row>
    <row r="43" spans="1:14">
      <c r="B43" s="303">
        <v>21.7</v>
      </c>
      <c r="C43" s="177" t="s">
        <v>61</v>
      </c>
      <c r="D43" s="177"/>
      <c r="E43" s="177"/>
      <c r="F43" s="177"/>
      <c r="G43" s="177"/>
      <c r="H43" s="177"/>
      <c r="I43" s="177"/>
      <c r="J43" s="177"/>
      <c r="K43" s="177"/>
      <c r="L43" s="177"/>
      <c r="M43" s="177"/>
      <c r="N43" s="178"/>
    </row>
    <row r="44" spans="1:14">
      <c r="B44" s="304">
        <v>11356</v>
      </c>
      <c r="C44" s="177" t="s">
        <v>62</v>
      </c>
      <c r="D44" s="177"/>
      <c r="E44" s="177"/>
      <c r="F44" s="177"/>
      <c r="G44" s="177"/>
      <c r="H44" s="177"/>
      <c r="I44" s="177"/>
      <c r="J44" s="177"/>
      <c r="K44" s="177"/>
      <c r="L44" s="177"/>
      <c r="M44" s="177"/>
      <c r="N44" s="178"/>
    </row>
    <row r="45" spans="1:14">
      <c r="B45" s="303">
        <v>3.0000000000000001E-3</v>
      </c>
      <c r="C45" s="177" t="s">
        <v>65</v>
      </c>
      <c r="D45" s="177"/>
      <c r="E45" s="177"/>
      <c r="F45" s="177"/>
      <c r="G45" s="177"/>
      <c r="H45" s="177"/>
      <c r="I45" s="177"/>
      <c r="J45" s="177"/>
      <c r="K45" s="177"/>
      <c r="L45" s="177"/>
      <c r="M45" s="177"/>
      <c r="N45" s="178"/>
    </row>
    <row r="46" spans="1:14">
      <c r="B46" s="303">
        <f>ROUND(4840500/626500,0)</f>
        <v>8</v>
      </c>
      <c r="C46" s="177" t="s">
        <v>66</v>
      </c>
      <c r="D46" s="177"/>
      <c r="E46" s="177"/>
      <c r="F46" s="177"/>
      <c r="G46" s="177"/>
      <c r="H46" s="177"/>
      <c r="I46" s="177"/>
      <c r="J46" s="177"/>
      <c r="K46" s="177"/>
      <c r="L46" s="177"/>
      <c r="M46" s="177"/>
      <c r="N46" s="178"/>
    </row>
    <row r="47" spans="1:14">
      <c r="B47" s="303">
        <v>0.92</v>
      </c>
      <c r="C47" s="177" t="s">
        <v>67</v>
      </c>
      <c r="D47" s="177"/>
      <c r="E47" s="177"/>
      <c r="F47" s="177"/>
      <c r="G47" s="177"/>
      <c r="H47" s="177"/>
      <c r="I47" s="177"/>
      <c r="J47" s="177"/>
      <c r="K47" s="177"/>
      <c r="L47" s="177"/>
      <c r="M47" s="177"/>
      <c r="N47" s="178"/>
    </row>
    <row r="48" spans="1:14">
      <c r="B48" s="303">
        <v>583770</v>
      </c>
      <c r="C48" s="177" t="s">
        <v>75</v>
      </c>
      <c r="D48" s="177"/>
      <c r="E48" s="177"/>
      <c r="F48" s="177"/>
      <c r="G48" s="177"/>
      <c r="H48" s="177"/>
      <c r="I48" s="177"/>
      <c r="J48" s="177"/>
      <c r="K48" s="177"/>
      <c r="L48" s="177"/>
      <c r="M48" s="177"/>
      <c r="N48" s="178"/>
    </row>
    <row r="49" spans="2:14">
      <c r="B49" s="304">
        <v>7310900000</v>
      </c>
      <c r="C49" s="177" t="s">
        <v>68</v>
      </c>
      <c r="D49" s="177"/>
      <c r="E49" s="177"/>
      <c r="F49" s="177"/>
      <c r="G49" s="177"/>
      <c r="H49" s="177"/>
      <c r="I49" s="177"/>
      <c r="J49" s="177"/>
      <c r="K49" s="177"/>
      <c r="L49" s="177"/>
      <c r="M49" s="177"/>
      <c r="N49" s="178"/>
    </row>
    <row r="50" spans="2:14">
      <c r="B50" s="303">
        <f>B49/VTpopulation2015</f>
        <v>11677.970487603068</v>
      </c>
      <c r="C50" s="177" t="s">
        <v>69</v>
      </c>
      <c r="D50" s="177"/>
      <c r="E50" s="177"/>
      <c r="F50" s="177"/>
      <c r="G50" s="177"/>
      <c r="H50" s="177"/>
      <c r="I50" s="177"/>
      <c r="J50" s="177"/>
      <c r="K50" s="177"/>
      <c r="L50" s="177"/>
      <c r="M50" s="177"/>
      <c r="N50" s="178"/>
    </row>
    <row r="51" spans="2:14">
      <c r="B51" s="304">
        <v>5238600000</v>
      </c>
      <c r="C51" s="177" t="s">
        <v>76</v>
      </c>
      <c r="D51" s="177"/>
      <c r="E51" s="177"/>
      <c r="F51" s="177"/>
      <c r="G51" s="177"/>
      <c r="H51" s="177"/>
      <c r="I51" s="177"/>
      <c r="J51" s="177"/>
      <c r="K51" s="177"/>
      <c r="L51" s="177"/>
      <c r="M51" s="177"/>
      <c r="N51" s="178"/>
    </row>
    <row r="52" spans="2:14">
      <c r="B52" s="303">
        <f>B51/B49</f>
        <v>0.71654652641945593</v>
      </c>
      <c r="C52" s="177" t="s">
        <v>77</v>
      </c>
      <c r="D52" s="177"/>
      <c r="E52" s="177"/>
      <c r="F52" s="177"/>
      <c r="G52" s="177"/>
      <c r="H52" s="177"/>
      <c r="I52" s="177"/>
      <c r="J52" s="177"/>
      <c r="K52" s="177"/>
      <c r="L52" s="177"/>
      <c r="M52" s="177"/>
      <c r="N52" s="178"/>
    </row>
    <row r="53" spans="2:14">
      <c r="B53" s="305">
        <v>0.34</v>
      </c>
      <c r="C53" s="177" t="s">
        <v>79</v>
      </c>
      <c r="D53" s="177"/>
      <c r="E53" s="177"/>
      <c r="F53" s="177"/>
      <c r="G53" s="177"/>
      <c r="H53" s="177"/>
      <c r="I53" s="177"/>
      <c r="J53" s="177"/>
      <c r="K53" s="177"/>
      <c r="L53" s="177"/>
      <c r="M53" s="177"/>
      <c r="N53" s="178"/>
    </row>
    <row r="54" spans="2:14">
      <c r="B54" s="305">
        <v>0.41</v>
      </c>
      <c r="C54" s="177" t="s">
        <v>80</v>
      </c>
      <c r="D54" s="177"/>
      <c r="E54" s="177"/>
      <c r="F54" s="177"/>
      <c r="G54" s="177"/>
      <c r="H54" s="177"/>
      <c r="I54" s="177"/>
      <c r="J54" s="177"/>
      <c r="K54" s="177"/>
      <c r="L54" s="177"/>
      <c r="M54" s="177"/>
      <c r="N54" s="178"/>
    </row>
    <row r="55" spans="2:14">
      <c r="B55" s="305">
        <v>0.19</v>
      </c>
      <c r="C55" s="177" t="s">
        <v>81</v>
      </c>
      <c r="D55" s="177"/>
      <c r="E55" s="177"/>
      <c r="F55" s="177"/>
      <c r="G55" s="177"/>
      <c r="H55" s="177"/>
      <c r="I55" s="177"/>
      <c r="J55" s="177"/>
      <c r="K55" s="177"/>
      <c r="L55" s="177"/>
      <c r="M55" s="177"/>
      <c r="N55" s="178"/>
    </row>
    <row r="56" spans="2:14">
      <c r="B56" s="303">
        <v>1.57</v>
      </c>
      <c r="C56" s="177" t="s">
        <v>120</v>
      </c>
      <c r="D56" s="177"/>
      <c r="E56" s="177"/>
      <c r="F56" s="177"/>
      <c r="G56" s="177"/>
      <c r="H56" s="177"/>
      <c r="I56" s="177"/>
      <c r="J56" s="177"/>
      <c r="K56" s="177"/>
      <c r="L56" s="177"/>
      <c r="M56" s="177"/>
      <c r="N56" s="178"/>
    </row>
    <row r="57" spans="2:14">
      <c r="B57" s="303">
        <v>0.9</v>
      </c>
      <c r="C57" s="177" t="s">
        <v>63</v>
      </c>
      <c r="D57" s="177"/>
      <c r="E57" s="177"/>
      <c r="F57" s="177"/>
      <c r="G57" s="177"/>
      <c r="H57" s="177"/>
      <c r="I57" s="177"/>
      <c r="J57" s="177"/>
      <c r="K57" s="177"/>
      <c r="L57" s="177"/>
      <c r="M57" s="177"/>
      <c r="N57" s="178"/>
    </row>
    <row r="58" spans="2:14">
      <c r="B58" s="306">
        <v>0.85</v>
      </c>
      <c r="C58" s="179" t="s">
        <v>64</v>
      </c>
      <c r="D58" s="179"/>
      <c r="E58" s="179"/>
      <c r="F58" s="179"/>
      <c r="G58" s="179"/>
      <c r="H58" s="179"/>
      <c r="I58" s="179"/>
      <c r="J58" s="179"/>
      <c r="K58" s="179"/>
      <c r="L58" s="179"/>
      <c r="M58" s="179"/>
      <c r="N58" s="180"/>
    </row>
    <row r="69" spans="2:2">
      <c r="B69" s="297"/>
    </row>
  </sheetData>
  <mergeCells count="28">
    <mergeCell ref="C19:N19"/>
    <mergeCell ref="C10:N10"/>
    <mergeCell ref="E11:F11"/>
    <mergeCell ref="E12:F12"/>
    <mergeCell ref="G12:N12"/>
    <mergeCell ref="G11:N11"/>
    <mergeCell ref="E13:N13"/>
    <mergeCell ref="C14:N14"/>
    <mergeCell ref="C15:N15"/>
    <mergeCell ref="E17:N17"/>
    <mergeCell ref="E18:N18"/>
    <mergeCell ref="E16:N16"/>
    <mergeCell ref="B2:N4"/>
    <mergeCell ref="C33:M33"/>
    <mergeCell ref="C35:N35"/>
    <mergeCell ref="C39:N39"/>
    <mergeCell ref="C38:N38"/>
    <mergeCell ref="C37:N37"/>
    <mergeCell ref="C36:N36"/>
    <mergeCell ref="C6:N6"/>
    <mergeCell ref="C20:N20"/>
    <mergeCell ref="C27:N27"/>
    <mergeCell ref="C26:N26"/>
    <mergeCell ref="C25:N25"/>
    <mergeCell ref="C24:N24"/>
    <mergeCell ref="C23:N23"/>
    <mergeCell ref="C22:N22"/>
    <mergeCell ref="C21:N21"/>
  </mergeCells>
  <hyperlinks>
    <hyperlink ref="E11" r:id="rId1" display="Census data"/>
    <hyperlink ref="E34" r:id="rId2"/>
  </hyperlinks>
  <pageMargins left="0.7" right="0.7" top="0.75" bottom="0.75" header="0.3" footer="0.3"/>
  <pageSetup orientation="portrait" r:id="rId3"/>
  <drawing r:id="rId4"/>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Q50"/>
  <sheetViews>
    <sheetView topLeftCell="A36" zoomScale="80" zoomScaleNormal="80" workbookViewId="0">
      <selection activeCell="D54" sqref="D54"/>
    </sheetView>
  </sheetViews>
  <sheetFormatPr defaultColWidth="8.85546875" defaultRowHeight="15"/>
  <cols>
    <col min="1" max="1" width="3.140625" style="48" customWidth="1"/>
    <col min="2" max="14" width="14.42578125" customWidth="1"/>
  </cols>
  <sheetData>
    <row r="1" spans="1:14" ht="9.75" customHeight="1" thickBot="1">
      <c r="A1" s="49"/>
      <c r="B1" s="47"/>
    </row>
    <row r="2" spans="1:14" ht="72.75" customHeight="1" thickBot="1">
      <c r="A2" s="49"/>
      <c r="B2" s="466" t="s">
        <v>279</v>
      </c>
      <c r="C2" s="467"/>
      <c r="D2" s="467"/>
      <c r="E2" s="467"/>
      <c r="F2" s="467"/>
      <c r="G2" s="467"/>
      <c r="H2" s="467"/>
      <c r="I2" s="467"/>
      <c r="J2" s="467"/>
      <c r="K2" s="467"/>
      <c r="L2" s="467"/>
      <c r="M2" s="467"/>
      <c r="N2" s="468"/>
    </row>
    <row r="3" spans="1:14">
      <c r="A3" s="49"/>
    </row>
    <row r="4" spans="1:14" s="120" customFormat="1" ht="42.75" customHeight="1">
      <c r="A4" s="201"/>
      <c r="B4" s="200">
        <f>SUM(B18,B43,B50)</f>
        <v>27033.414573927676</v>
      </c>
      <c r="C4" s="460" t="s">
        <v>103</v>
      </c>
      <c r="D4" s="461"/>
      <c r="E4" s="461"/>
      <c r="F4" s="461"/>
      <c r="G4" s="461"/>
      <c r="H4" s="461"/>
      <c r="I4" s="461"/>
      <c r="J4" s="461"/>
      <c r="K4" s="461"/>
      <c r="L4" s="461"/>
      <c r="M4" s="461"/>
      <c r="N4" s="461"/>
    </row>
    <row r="5" spans="1:14" ht="15.75" thickBot="1">
      <c r="A5" s="49"/>
      <c r="B5" s="48"/>
    </row>
    <row r="6" spans="1:14" ht="21.75" customHeight="1" thickBot="1">
      <c r="B6" s="185"/>
      <c r="C6" s="187" t="s">
        <v>224</v>
      </c>
      <c r="D6" s="128"/>
      <c r="E6" s="128"/>
      <c r="F6" s="128"/>
      <c r="G6" s="128"/>
      <c r="H6" s="128"/>
      <c r="I6" s="128"/>
      <c r="J6" s="128"/>
      <c r="K6" s="128"/>
      <c r="L6" s="128"/>
      <c r="M6" s="128"/>
      <c r="N6" s="129"/>
    </row>
    <row r="7" spans="1:14">
      <c r="B7" s="48"/>
      <c r="C7" s="22"/>
    </row>
    <row r="8" spans="1:14" ht="42.75" customHeight="1">
      <c r="A8" s="48">
        <v>1</v>
      </c>
      <c r="B8" s="31">
        <v>187</v>
      </c>
      <c r="C8" s="455" t="s">
        <v>289</v>
      </c>
      <c r="D8" s="456"/>
      <c r="E8" s="456"/>
      <c r="F8" s="456"/>
      <c r="G8" s="456"/>
      <c r="H8" s="456"/>
      <c r="I8" s="456"/>
      <c r="J8" s="456"/>
      <c r="K8" s="456"/>
      <c r="L8" s="456"/>
      <c r="M8" s="456"/>
      <c r="N8" s="456"/>
    </row>
    <row r="9" spans="1:14" ht="42.75" customHeight="1">
      <c r="B9" s="49"/>
      <c r="C9" s="23"/>
      <c r="D9" s="50" t="s">
        <v>104</v>
      </c>
      <c r="E9" s="471" t="s">
        <v>73</v>
      </c>
      <c r="F9" s="471"/>
      <c r="G9" s="472" t="s">
        <v>362</v>
      </c>
      <c r="H9" s="472"/>
      <c r="I9" s="472"/>
      <c r="J9" s="472"/>
      <c r="K9" s="472"/>
      <c r="L9" s="472"/>
      <c r="M9" s="472"/>
      <c r="N9" s="472"/>
    </row>
    <row r="10" spans="1:14" ht="52.5" customHeight="1">
      <c r="A10" s="48">
        <v>2</v>
      </c>
      <c r="B10" s="79">
        <v>110</v>
      </c>
      <c r="C10" s="470" t="s">
        <v>264</v>
      </c>
      <c r="D10" s="469"/>
      <c r="E10" s="469"/>
      <c r="F10" s="469"/>
      <c r="G10" s="469"/>
      <c r="H10" s="469"/>
      <c r="I10" s="469"/>
      <c r="J10" s="469"/>
      <c r="K10" s="469"/>
      <c r="L10" s="469"/>
      <c r="M10" s="469"/>
      <c r="N10" s="469"/>
    </row>
    <row r="11" spans="1:14" ht="42.75" customHeight="1">
      <c r="B11" s="48"/>
      <c r="C11" s="52"/>
      <c r="D11" s="28" t="s">
        <v>59</v>
      </c>
      <c r="E11" s="463" t="s">
        <v>97</v>
      </c>
      <c r="F11" s="469"/>
      <c r="G11" s="469"/>
      <c r="H11" s="469"/>
      <c r="I11" s="469"/>
      <c r="J11" s="469"/>
      <c r="K11" s="469"/>
      <c r="L11" s="469"/>
      <c r="M11" s="469"/>
      <c r="N11" s="469"/>
    </row>
    <row r="12" spans="1:14" ht="42.75" customHeight="1">
      <c r="B12" s="49"/>
      <c r="C12" s="53"/>
      <c r="D12" s="29">
        <v>0.26</v>
      </c>
      <c r="E12" s="469" t="s">
        <v>94</v>
      </c>
      <c r="F12" s="469"/>
      <c r="G12" s="469"/>
      <c r="H12" s="469"/>
      <c r="I12" s="469"/>
      <c r="J12" s="469"/>
      <c r="K12" s="469"/>
      <c r="L12" s="469"/>
      <c r="M12" s="469"/>
      <c r="N12" s="469"/>
    </row>
    <row r="13" spans="1:14" ht="42.75" customHeight="1">
      <c r="B13" s="49"/>
      <c r="C13" s="53"/>
      <c r="D13" s="29">
        <v>0.5</v>
      </c>
      <c r="E13" s="469" t="s">
        <v>95</v>
      </c>
      <c r="F13" s="469"/>
      <c r="G13" s="469"/>
      <c r="H13" s="469"/>
      <c r="I13" s="469"/>
      <c r="J13" s="469"/>
      <c r="K13" s="469"/>
      <c r="L13" s="469"/>
      <c r="M13" s="469"/>
      <c r="N13" s="469"/>
    </row>
    <row r="14" spans="1:14" ht="42.75" customHeight="1">
      <c r="B14" s="49"/>
      <c r="C14" s="53"/>
      <c r="D14" s="29">
        <v>0.2</v>
      </c>
      <c r="E14" s="469" t="s">
        <v>96</v>
      </c>
      <c r="F14" s="469"/>
      <c r="G14" s="469"/>
      <c r="H14" s="469"/>
      <c r="I14" s="469"/>
      <c r="J14" s="469"/>
      <c r="K14" s="469"/>
      <c r="L14" s="469"/>
      <c r="M14" s="469"/>
      <c r="N14" s="469"/>
    </row>
    <row r="15" spans="1:14" ht="42.75" customHeight="1">
      <c r="B15" s="49"/>
      <c r="C15" s="53"/>
      <c r="D15" s="30">
        <v>2.2999999999999998</v>
      </c>
      <c r="E15" s="469" t="s">
        <v>98</v>
      </c>
      <c r="F15" s="469"/>
      <c r="G15" s="469"/>
      <c r="H15" s="469"/>
      <c r="I15" s="469"/>
      <c r="J15" s="469"/>
      <c r="K15" s="469"/>
      <c r="L15" s="469"/>
      <c r="M15" s="469"/>
      <c r="N15" s="469"/>
    </row>
    <row r="16" spans="1:14" ht="42.75" customHeight="1">
      <c r="B16" s="49"/>
      <c r="C16" s="53"/>
      <c r="D16" s="29">
        <f>(20000*1.25)/257000</f>
        <v>9.727626459143969E-2</v>
      </c>
      <c r="E16" s="469" t="s">
        <v>105</v>
      </c>
      <c r="F16" s="469"/>
      <c r="G16" s="469"/>
      <c r="H16" s="469"/>
      <c r="I16" s="469"/>
      <c r="J16" s="469"/>
      <c r="K16" s="469"/>
      <c r="L16" s="469"/>
      <c r="M16" s="469"/>
      <c r="N16" s="469"/>
    </row>
    <row r="17" spans="1:16">
      <c r="B17" s="49"/>
      <c r="C17" s="24"/>
      <c r="F17" s="23"/>
      <c r="G17" s="24"/>
      <c r="H17" s="24"/>
      <c r="I17" s="24"/>
      <c r="J17" s="24"/>
      <c r="K17" s="24"/>
      <c r="L17" s="24"/>
    </row>
    <row r="18" spans="1:16" s="120" customFormat="1" ht="42.75" customHeight="1">
      <c r="A18" s="202"/>
      <c r="B18" s="200">
        <f>B8*B10</f>
        <v>20570</v>
      </c>
      <c r="C18" s="457" t="s">
        <v>101</v>
      </c>
      <c r="D18" s="475"/>
      <c r="E18" s="475"/>
      <c r="F18" s="475"/>
      <c r="G18" s="475"/>
      <c r="H18" s="475"/>
      <c r="I18" s="475"/>
      <c r="J18" s="475"/>
      <c r="K18" s="475"/>
      <c r="L18" s="475"/>
      <c r="M18" s="475"/>
      <c r="N18" s="475"/>
    </row>
    <row r="19" spans="1:16">
      <c r="B19" s="49"/>
      <c r="C19" s="23"/>
      <c r="D19" s="23"/>
      <c r="E19" s="23"/>
      <c r="F19" s="23"/>
      <c r="G19" s="23"/>
      <c r="H19" s="23"/>
    </row>
    <row r="20" spans="1:16" ht="18.75">
      <c r="B20" s="48"/>
      <c r="C20" s="46" t="s">
        <v>93</v>
      </c>
    </row>
    <row r="21" spans="1:16" ht="15.75">
      <c r="B21" s="48"/>
      <c r="C21" s="54"/>
    </row>
    <row r="22" spans="1:16" ht="32.25" customHeight="1">
      <c r="A22" s="48">
        <v>1</v>
      </c>
      <c r="B22" s="31">
        <f>J41</f>
        <v>6</v>
      </c>
      <c r="C22" s="462" t="s">
        <v>288</v>
      </c>
      <c r="D22" s="463"/>
      <c r="E22" s="463"/>
      <c r="F22" s="463"/>
      <c r="G22" s="463"/>
      <c r="H22" s="463"/>
      <c r="I22" s="463"/>
      <c r="J22" s="463"/>
      <c r="K22" s="463"/>
      <c r="L22" s="463"/>
      <c r="M22" s="463"/>
      <c r="N22" s="463"/>
    </row>
    <row r="23" spans="1:16" s="51" customFormat="1" ht="32.25" customHeight="1">
      <c r="A23" s="48"/>
      <c r="B23" s="48"/>
      <c r="D23" s="51" t="s">
        <v>70</v>
      </c>
      <c r="E23" s="25" t="s">
        <v>99</v>
      </c>
      <c r="G23" s="51" t="s">
        <v>100</v>
      </c>
    </row>
    <row r="24" spans="1:16" ht="105" customHeight="1">
      <c r="A24" s="48">
        <v>2</v>
      </c>
      <c r="B24" s="79">
        <f>K41</f>
        <v>497.33682615106665</v>
      </c>
      <c r="C24" s="476" t="s">
        <v>265</v>
      </c>
      <c r="D24" s="477"/>
      <c r="E24" s="477"/>
      <c r="F24" s="477"/>
      <c r="G24" s="477"/>
      <c r="H24" s="477"/>
      <c r="I24" s="477"/>
      <c r="J24" s="477"/>
      <c r="K24" s="477"/>
      <c r="L24" s="477"/>
      <c r="M24" s="477"/>
      <c r="N24" s="477"/>
    </row>
    <row r="25" spans="1:16">
      <c r="B25" s="118"/>
      <c r="C25" s="111"/>
      <c r="D25" s="111"/>
      <c r="E25" s="111"/>
      <c r="F25" s="111"/>
      <c r="G25" s="111"/>
      <c r="H25" s="111"/>
      <c r="I25" s="111"/>
      <c r="J25" s="111"/>
      <c r="K25" s="111"/>
      <c r="L25" s="111"/>
      <c r="M25" s="111"/>
      <c r="N25" s="111"/>
      <c r="O25" s="112"/>
      <c r="P25" s="112"/>
    </row>
    <row r="26" spans="1:16" ht="54" customHeight="1">
      <c r="B26" s="48"/>
      <c r="D26" s="32" t="s">
        <v>60</v>
      </c>
      <c r="E26" s="44" t="s">
        <v>108</v>
      </c>
      <c r="F26" s="44" t="s">
        <v>107</v>
      </c>
      <c r="G26" s="44" t="s">
        <v>106</v>
      </c>
      <c r="H26" s="44" t="s">
        <v>58</v>
      </c>
      <c r="I26" s="44" t="s">
        <v>111</v>
      </c>
      <c r="J26" s="44" t="s">
        <v>109</v>
      </c>
      <c r="K26" s="45" t="s">
        <v>110</v>
      </c>
    </row>
    <row r="27" spans="1:16" ht="47.25" customHeight="1">
      <c r="B27" s="48"/>
      <c r="D27" s="41" t="s">
        <v>46</v>
      </c>
      <c r="E27" s="33">
        <v>1418</v>
      </c>
      <c r="F27" s="33">
        <v>9210</v>
      </c>
      <c r="G27" s="33">
        <f>F27/E27</f>
        <v>6.4950634696755998</v>
      </c>
      <c r="H27" s="33">
        <f t="shared" ref="H27:H40" si="0">G27/SUM($G$27:$G$40)*$H$41</f>
        <v>506702.40423687408</v>
      </c>
      <c r="I27" s="33">
        <f>H27/E27</f>
        <v>357.33596913742883</v>
      </c>
      <c r="J27" s="34">
        <v>0</v>
      </c>
      <c r="K27" s="35">
        <f t="shared" ref="K27:K40" si="1">IF(J27="","",J27/$J$41)</f>
        <v>0</v>
      </c>
    </row>
    <row r="28" spans="1:16" ht="47.25" customHeight="1">
      <c r="B28" s="48"/>
      <c r="D28" s="42" t="s">
        <v>47</v>
      </c>
      <c r="E28" s="36">
        <v>3134</v>
      </c>
      <c r="F28" s="36">
        <v>37178</v>
      </c>
      <c r="G28" s="36">
        <f t="shared" ref="G28:G40" si="2">F28/E28</f>
        <v>11.862795149968091</v>
      </c>
      <c r="H28" s="36">
        <f t="shared" si="0"/>
        <v>925457.74980064656</v>
      </c>
      <c r="I28" s="36">
        <f t="shared" ref="I28:I40" si="3">H28/E28</f>
        <v>295.29602737736008</v>
      </c>
      <c r="J28" s="65">
        <v>0</v>
      </c>
      <c r="K28" s="37">
        <f t="shared" si="1"/>
        <v>0</v>
      </c>
    </row>
    <row r="29" spans="1:16" ht="47.25" customHeight="1">
      <c r="B29" s="48"/>
      <c r="D29" s="42" t="s">
        <v>48</v>
      </c>
      <c r="E29" s="36">
        <v>549</v>
      </c>
      <c r="F29" s="36">
        <v>6436</v>
      </c>
      <c r="G29" s="36">
        <f t="shared" si="2"/>
        <v>11.723132969034609</v>
      </c>
      <c r="H29" s="36">
        <f t="shared" si="0"/>
        <v>914562.21918876551</v>
      </c>
      <c r="I29" s="36">
        <f t="shared" si="3"/>
        <v>1665.8692517099553</v>
      </c>
      <c r="J29" s="65">
        <v>0</v>
      </c>
      <c r="K29" s="37">
        <f t="shared" si="1"/>
        <v>0</v>
      </c>
    </row>
    <row r="30" spans="1:16" ht="47.25" customHeight="1">
      <c r="B30" s="48"/>
      <c r="D30" s="42" t="s">
        <v>44</v>
      </c>
      <c r="E30" s="36">
        <v>483</v>
      </c>
      <c r="F30" s="36">
        <v>4689</v>
      </c>
      <c r="G30" s="36">
        <f t="shared" si="2"/>
        <v>9.70807453416149</v>
      </c>
      <c r="H30" s="36">
        <f t="shared" si="0"/>
        <v>757360.52925993747</v>
      </c>
      <c r="I30" s="36">
        <f t="shared" si="3"/>
        <v>1568.0342220702639</v>
      </c>
      <c r="J30" s="65">
        <v>0</v>
      </c>
      <c r="K30" s="37">
        <f t="shared" si="1"/>
        <v>0</v>
      </c>
    </row>
    <row r="31" spans="1:16" ht="47.25" customHeight="1">
      <c r="B31" s="48"/>
      <c r="D31" s="43" t="s">
        <v>49</v>
      </c>
      <c r="E31" s="36">
        <v>944</v>
      </c>
      <c r="F31" s="36">
        <v>8692</v>
      </c>
      <c r="G31" s="36">
        <f t="shared" si="2"/>
        <v>9.2076271186440675</v>
      </c>
      <c r="H31" s="36">
        <f t="shared" si="0"/>
        <v>718318.89251216396</v>
      </c>
      <c r="I31" s="36">
        <f t="shared" si="3"/>
        <v>760.93103020356352</v>
      </c>
      <c r="J31" s="65">
        <v>1</v>
      </c>
      <c r="K31" s="37">
        <f t="shared" si="1"/>
        <v>0.16666666666666666</v>
      </c>
    </row>
    <row r="32" spans="1:16" ht="47.25" customHeight="1">
      <c r="B32" s="48"/>
      <c r="D32" s="42" t="s">
        <v>50</v>
      </c>
      <c r="E32" s="36">
        <v>716</v>
      </c>
      <c r="F32" s="36">
        <v>2837</v>
      </c>
      <c r="G32" s="36">
        <f t="shared" si="2"/>
        <v>3.9622905027932962</v>
      </c>
      <c r="H32" s="36">
        <f t="shared" si="0"/>
        <v>309112.00997864484</v>
      </c>
      <c r="I32" s="36">
        <f t="shared" si="3"/>
        <v>431.72068432771624</v>
      </c>
      <c r="J32" s="65">
        <v>0</v>
      </c>
      <c r="K32" s="37">
        <f t="shared" si="1"/>
        <v>0</v>
      </c>
    </row>
    <row r="33" spans="1:17" ht="47.25" customHeight="1">
      <c r="B33" s="48"/>
      <c r="D33" s="43" t="s">
        <v>51</v>
      </c>
      <c r="E33" s="36">
        <v>3170</v>
      </c>
      <c r="F33" s="36">
        <v>14050</v>
      </c>
      <c r="G33" s="36">
        <f t="shared" si="2"/>
        <v>4.4321766561514195</v>
      </c>
      <c r="H33" s="36">
        <f t="shared" si="0"/>
        <v>345769.45678201987</v>
      </c>
      <c r="I33" s="36">
        <f t="shared" si="3"/>
        <v>109.07553841704097</v>
      </c>
      <c r="J33" s="65">
        <v>3</v>
      </c>
      <c r="K33" s="37">
        <f t="shared" si="1"/>
        <v>0.5</v>
      </c>
    </row>
    <row r="34" spans="1:17" ht="47.25" customHeight="1">
      <c r="B34" s="48"/>
      <c r="D34" s="43" t="s">
        <v>52</v>
      </c>
      <c r="E34" s="36">
        <v>112</v>
      </c>
      <c r="F34" s="36">
        <v>2213</v>
      </c>
      <c r="G34" s="36">
        <f t="shared" si="2"/>
        <v>19.758928571428573</v>
      </c>
      <c r="H34" s="36">
        <f t="shared" si="0"/>
        <v>1541462.4751600111</v>
      </c>
      <c r="I34" s="36">
        <f t="shared" si="3"/>
        <v>13763.05781392867</v>
      </c>
      <c r="J34" s="65">
        <v>0</v>
      </c>
      <c r="K34" s="37">
        <f t="shared" si="1"/>
        <v>0</v>
      </c>
    </row>
    <row r="35" spans="1:17" ht="47.25" customHeight="1">
      <c r="B35" s="48"/>
      <c r="D35" s="43" t="s">
        <v>53</v>
      </c>
      <c r="E35" s="36">
        <v>1580</v>
      </c>
      <c r="F35" s="36">
        <v>9665</v>
      </c>
      <c r="G35" s="36">
        <f t="shared" si="2"/>
        <v>6.1170886075949369</v>
      </c>
      <c r="H35" s="36">
        <f t="shared" si="0"/>
        <v>477215.27570432739</v>
      </c>
      <c r="I35" s="36">
        <f t="shared" si="3"/>
        <v>302.034984622992</v>
      </c>
      <c r="J35" s="65">
        <v>0</v>
      </c>
      <c r="K35" s="37">
        <f t="shared" si="1"/>
        <v>0</v>
      </c>
    </row>
    <row r="36" spans="1:17" ht="47.25" customHeight="1">
      <c r="B36" s="48"/>
      <c r="D36" s="42" t="s">
        <v>54</v>
      </c>
      <c r="E36" s="36">
        <v>422</v>
      </c>
      <c r="F36" s="36">
        <v>10349</v>
      </c>
      <c r="G36" s="36">
        <f t="shared" si="2"/>
        <v>24.523696682464454</v>
      </c>
      <c r="H36" s="36">
        <f t="shared" si="0"/>
        <v>1913178.5436426576</v>
      </c>
      <c r="I36" s="36">
        <f t="shared" si="3"/>
        <v>4533.5984446508473</v>
      </c>
      <c r="J36" s="65">
        <v>0</v>
      </c>
      <c r="K36" s="37">
        <f t="shared" si="1"/>
        <v>0</v>
      </c>
    </row>
    <row r="37" spans="1:17" ht="47.25" customHeight="1">
      <c r="B37" s="48"/>
      <c r="D37" s="43" t="s">
        <v>55</v>
      </c>
      <c r="E37" s="36">
        <v>1888</v>
      </c>
      <c r="F37" s="36">
        <v>49518</v>
      </c>
      <c r="G37" s="36">
        <f t="shared" si="2"/>
        <v>26.227754237288135</v>
      </c>
      <c r="H37" s="36">
        <f t="shared" si="0"/>
        <v>2046117.9774170117</v>
      </c>
      <c r="I37" s="36">
        <f t="shared" si="3"/>
        <v>1083.7489287166375</v>
      </c>
      <c r="J37" s="65">
        <v>1</v>
      </c>
      <c r="K37" s="37">
        <f t="shared" si="1"/>
        <v>0.16666666666666666</v>
      </c>
    </row>
    <row r="38" spans="1:17" ht="47.25" customHeight="1">
      <c r="B38" s="48"/>
      <c r="D38" s="43" t="s">
        <v>56</v>
      </c>
      <c r="E38" s="36">
        <v>412</v>
      </c>
      <c r="F38" s="36">
        <v>3869</v>
      </c>
      <c r="G38" s="36">
        <f t="shared" si="2"/>
        <v>9.3907766990291268</v>
      </c>
      <c r="H38" s="36">
        <f t="shared" si="0"/>
        <v>732607.02582284878</v>
      </c>
      <c r="I38" s="36">
        <f t="shared" si="3"/>
        <v>1778.1723927739049</v>
      </c>
      <c r="J38" s="65">
        <v>0</v>
      </c>
      <c r="K38" s="37">
        <f t="shared" si="1"/>
        <v>0</v>
      </c>
    </row>
    <row r="39" spans="1:17" ht="47.25" customHeight="1">
      <c r="B39" s="48"/>
      <c r="D39" s="42" t="s">
        <v>57</v>
      </c>
      <c r="E39" s="36">
        <v>1807</v>
      </c>
      <c r="F39" s="36">
        <v>33991</v>
      </c>
      <c r="G39" s="36">
        <f t="shared" si="2"/>
        <v>18.810736026563365</v>
      </c>
      <c r="H39" s="36">
        <f t="shared" si="0"/>
        <v>1467490.6896022826</v>
      </c>
      <c r="I39" s="36">
        <f t="shared" si="3"/>
        <v>812.11438273507611</v>
      </c>
      <c r="J39" s="65">
        <v>1</v>
      </c>
      <c r="K39" s="37">
        <f t="shared" si="1"/>
        <v>0.16666666666666666</v>
      </c>
    </row>
    <row r="40" spans="1:17" ht="47.25" customHeight="1">
      <c r="B40" s="48"/>
      <c r="D40" s="43" t="s">
        <v>45</v>
      </c>
      <c r="E40" s="36">
        <v>1982</v>
      </c>
      <c r="F40" s="36">
        <v>8756</v>
      </c>
      <c r="G40" s="36">
        <f t="shared" si="2"/>
        <v>4.4177598385469219</v>
      </c>
      <c r="H40" s="36">
        <f t="shared" si="0"/>
        <v>344644.75089180813</v>
      </c>
      <c r="I40" s="36">
        <f t="shared" si="3"/>
        <v>173.88736170121501</v>
      </c>
      <c r="J40" s="65">
        <v>0</v>
      </c>
      <c r="K40" s="37">
        <f t="shared" si="1"/>
        <v>0</v>
      </c>
    </row>
    <row r="41" spans="1:17" ht="33" customHeight="1">
      <c r="B41" s="48"/>
      <c r="D41" s="38"/>
      <c r="E41" s="39"/>
      <c r="F41" s="39"/>
      <c r="G41" s="39"/>
      <c r="H41" s="40">
        <v>13000000</v>
      </c>
      <c r="I41" s="39"/>
      <c r="J41" s="66">
        <f>SUM(J27:J40)</f>
        <v>6</v>
      </c>
      <c r="K41" s="108">
        <f>SUMPRODUCT(I27:I40,K27:K40)</f>
        <v>497.33682615106665</v>
      </c>
      <c r="L41" s="478" t="s">
        <v>112</v>
      </c>
      <c r="M41" s="479"/>
      <c r="N41" s="479"/>
      <c r="O41" s="479"/>
      <c r="P41" s="479"/>
      <c r="Q41" s="479"/>
    </row>
    <row r="42" spans="1:17" ht="22.5" customHeight="1">
      <c r="B42" s="48"/>
    </row>
    <row r="43" spans="1:17" s="120" customFormat="1" ht="40.5" customHeight="1">
      <c r="A43" s="202"/>
      <c r="B43" s="203">
        <f>B22*B24</f>
        <v>2984.0209569064</v>
      </c>
      <c r="C43" s="457" t="s">
        <v>102</v>
      </c>
      <c r="D43" s="475"/>
      <c r="E43" s="475"/>
      <c r="F43" s="475"/>
      <c r="G43" s="475"/>
      <c r="H43" s="475"/>
      <c r="I43" s="475"/>
      <c r="J43" s="475"/>
      <c r="K43" s="475"/>
      <c r="L43" s="475"/>
      <c r="M43" s="475"/>
      <c r="N43" s="475"/>
    </row>
    <row r="44" spans="1:17" ht="25.5" customHeight="1"/>
    <row r="45" spans="1:17" ht="40.5" customHeight="1">
      <c r="C45" s="46" t="s">
        <v>225</v>
      </c>
    </row>
    <row r="46" spans="1:17" ht="12" customHeight="1"/>
    <row r="47" spans="1:17" ht="30" customHeight="1">
      <c r="B47" s="125">
        <v>0.47</v>
      </c>
      <c r="C47" s="462" t="s">
        <v>286</v>
      </c>
      <c r="D47" s="463"/>
      <c r="E47" s="463"/>
      <c r="F47" s="463"/>
      <c r="G47" s="463"/>
      <c r="H47" s="463"/>
      <c r="I47" s="463"/>
      <c r="J47" s="463"/>
      <c r="K47" s="463"/>
      <c r="L47" s="463"/>
      <c r="M47" s="463"/>
      <c r="N47" s="463"/>
    </row>
    <row r="48" spans="1:17" ht="40.5" customHeight="1">
      <c r="B48" s="126">
        <v>0.53</v>
      </c>
      <c r="C48" s="462" t="s">
        <v>287</v>
      </c>
      <c r="D48" s="463"/>
      <c r="E48" s="463"/>
      <c r="F48" s="463"/>
      <c r="G48" s="463"/>
      <c r="H48" s="463"/>
      <c r="I48" s="463"/>
      <c r="J48" s="463"/>
      <c r="K48" s="463"/>
      <c r="L48" s="463"/>
      <c r="M48" s="463"/>
      <c r="N48" s="463"/>
    </row>
    <row r="49" spans="1:14" ht="40.5" customHeight="1">
      <c r="B49" s="49">
        <f>(B18*B48)/B47</f>
        <v>23195.957446808512</v>
      </c>
      <c r="C49" s="473" t="s">
        <v>227</v>
      </c>
      <c r="D49" s="473"/>
      <c r="E49" s="473"/>
      <c r="F49" s="473"/>
      <c r="G49" s="473"/>
      <c r="H49" s="473"/>
      <c r="I49" s="473"/>
      <c r="J49" s="473"/>
      <c r="K49" s="473"/>
      <c r="L49" s="473"/>
      <c r="M49" s="51"/>
      <c r="N49" s="51"/>
    </row>
    <row r="50" spans="1:14" s="120" customFormat="1" ht="40.5" customHeight="1">
      <c r="A50" s="202"/>
      <c r="B50" s="124">
        <f>B49*0.15</f>
        <v>3479.3936170212769</v>
      </c>
      <c r="C50" s="474" t="s">
        <v>226</v>
      </c>
      <c r="D50" s="474"/>
      <c r="E50" s="474"/>
      <c r="F50" s="474"/>
      <c r="G50" s="474"/>
      <c r="H50" s="474"/>
      <c r="I50" s="474"/>
      <c r="J50" s="474"/>
      <c r="K50" s="474"/>
      <c r="L50" s="474"/>
      <c r="M50" s="474"/>
      <c r="N50" s="204"/>
    </row>
  </sheetData>
  <mergeCells count="21">
    <mergeCell ref="C49:L49"/>
    <mergeCell ref="C50:M50"/>
    <mergeCell ref="C47:N47"/>
    <mergeCell ref="C18:N18"/>
    <mergeCell ref="C22:N22"/>
    <mergeCell ref="C24:N24"/>
    <mergeCell ref="C43:N43"/>
    <mergeCell ref="L41:Q41"/>
    <mergeCell ref="B2:N2"/>
    <mergeCell ref="C4:N4"/>
    <mergeCell ref="C48:N48"/>
    <mergeCell ref="E14:N14"/>
    <mergeCell ref="E13:N13"/>
    <mergeCell ref="E12:N12"/>
    <mergeCell ref="C10:N10"/>
    <mergeCell ref="E9:F9"/>
    <mergeCell ref="C8:N8"/>
    <mergeCell ref="G9:N9"/>
    <mergeCell ref="E11:N11"/>
    <mergeCell ref="E16:N16"/>
    <mergeCell ref="E15:N15"/>
  </mergeCells>
  <hyperlinks>
    <hyperlink ref="E9" r:id="rId1" display="Census data"/>
    <hyperlink ref="E23" r:id="rId2" display="Vermont Dept of Labor website"/>
  </hyperlinks>
  <pageMargins left="0.7" right="0.7" top="0.75" bottom="0.75" header="0.3" footer="0.3"/>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N38"/>
  <sheetViews>
    <sheetView topLeftCell="A28" workbookViewId="0">
      <selection activeCell="G32" sqref="G32"/>
    </sheetView>
  </sheetViews>
  <sheetFormatPr defaultRowHeight="15"/>
  <cols>
    <col min="1" max="1" width="2.5703125" style="157" customWidth="1"/>
    <col min="2" max="2" width="3.140625" customWidth="1"/>
    <col min="4" max="4" width="19.5703125" customWidth="1"/>
    <col min="5" max="5" width="23" customWidth="1"/>
    <col min="6" max="6" width="19.140625" customWidth="1"/>
    <col min="7" max="7" width="18.140625" customWidth="1"/>
    <col min="8" max="8" width="21.42578125" customWidth="1"/>
    <col min="9" max="9" width="20" customWidth="1"/>
    <col min="10" max="10" width="16.140625" customWidth="1"/>
    <col min="11" max="11" width="16.42578125" customWidth="1"/>
    <col min="12" max="12" width="25.140625" customWidth="1"/>
    <col min="13" max="13" width="20.7109375" customWidth="1"/>
    <col min="14" max="14" width="16.42578125" customWidth="1"/>
    <col min="17" max="17" width="14.7109375" customWidth="1"/>
  </cols>
  <sheetData>
    <row r="1" spans="2:14" s="2" customFormat="1"/>
    <row r="2" spans="2:14" s="2" customFormat="1" ht="68.25" customHeight="1">
      <c r="B2" s="500" t="s">
        <v>321</v>
      </c>
      <c r="C2" s="501"/>
      <c r="D2" s="501"/>
      <c r="E2" s="501"/>
      <c r="F2" s="501"/>
      <c r="G2" s="501"/>
      <c r="H2" s="501"/>
      <c r="I2" s="501"/>
      <c r="J2" s="501"/>
      <c r="K2" s="501"/>
      <c r="L2" s="502"/>
      <c r="M2" s="172"/>
      <c r="N2" s="172"/>
    </row>
    <row r="3" spans="2:14" s="2" customFormat="1" ht="40.5" customHeight="1">
      <c r="B3" s="503" t="s">
        <v>320</v>
      </c>
      <c r="C3" s="450"/>
      <c r="D3" s="450"/>
      <c r="E3" s="450"/>
      <c r="F3" s="450"/>
      <c r="G3" s="450"/>
      <c r="H3" s="450"/>
      <c r="I3" s="450"/>
      <c r="J3" s="450"/>
      <c r="K3" s="450"/>
      <c r="L3" s="504"/>
      <c r="M3" s="172"/>
      <c r="N3" s="172"/>
    </row>
    <row r="4" spans="2:14" s="2" customFormat="1" ht="45.75" customHeight="1">
      <c r="B4" s="505" t="s">
        <v>329</v>
      </c>
      <c r="C4" s="506"/>
      <c r="D4" s="506"/>
      <c r="E4" s="506"/>
      <c r="F4" s="506"/>
      <c r="G4" s="506"/>
      <c r="H4" s="506"/>
      <c r="I4" s="506"/>
      <c r="J4" s="506"/>
      <c r="K4" s="506"/>
      <c r="L4" s="507"/>
      <c r="M4" s="172"/>
      <c r="N4" s="172"/>
    </row>
    <row r="5" spans="2:14" ht="15.75" thickBot="1">
      <c r="B5" s="157"/>
      <c r="C5" s="157"/>
      <c r="D5" s="157"/>
      <c r="E5" s="157"/>
      <c r="F5" s="157"/>
      <c r="G5" s="157"/>
      <c r="H5" s="157"/>
      <c r="I5" s="157"/>
      <c r="J5" s="157"/>
      <c r="K5" s="157"/>
      <c r="L5" s="157"/>
      <c r="M5" s="157"/>
      <c r="N5" s="157"/>
    </row>
    <row r="6" spans="2:14" ht="57.75" customHeight="1" thickBot="1">
      <c r="D6" s="231" t="s">
        <v>322</v>
      </c>
      <c r="E6" s="127">
        <v>187</v>
      </c>
      <c r="F6" s="128"/>
      <c r="G6" s="128"/>
      <c r="H6" s="129"/>
    </row>
    <row r="7" spans="2:14" ht="49.5" customHeight="1">
      <c r="D7" s="130"/>
      <c r="E7" s="141" t="s">
        <v>231</v>
      </c>
      <c r="F7" s="141" t="s">
        <v>232</v>
      </c>
      <c r="G7" s="141" t="s">
        <v>323</v>
      </c>
      <c r="H7" s="142" t="s">
        <v>324</v>
      </c>
    </row>
    <row r="8" spans="2:14" ht="21" customHeight="1">
      <c r="D8" s="132" t="s">
        <v>229</v>
      </c>
      <c r="E8" s="135">
        <v>167</v>
      </c>
      <c r="F8" s="136">
        <v>2.2400000000000002</v>
      </c>
      <c r="G8" s="136">
        <v>800</v>
      </c>
      <c r="H8" s="137">
        <f>E8*F8*G8</f>
        <v>299264.00000000006</v>
      </c>
    </row>
    <row r="9" spans="2:14" ht="21" customHeight="1" thickBot="1">
      <c r="D9" s="131" t="s">
        <v>230</v>
      </c>
      <c r="E9" s="138">
        <v>20</v>
      </c>
      <c r="F9" s="139">
        <v>1.99</v>
      </c>
      <c r="G9" s="139">
        <v>500</v>
      </c>
      <c r="H9" s="140">
        <f>E9*F9*G9</f>
        <v>19900</v>
      </c>
    </row>
    <row r="10" spans="2:14" ht="50.25" customHeight="1" thickBot="1">
      <c r="C10" s="485" t="s">
        <v>325</v>
      </c>
      <c r="D10" s="485"/>
      <c r="E10" s="485"/>
      <c r="F10" s="485"/>
      <c r="G10" s="485"/>
      <c r="H10" s="485"/>
      <c r="I10" s="485"/>
      <c r="J10" s="485"/>
      <c r="K10" s="485"/>
      <c r="L10" s="485"/>
    </row>
    <row r="11" spans="2:14">
      <c r="C11" s="143"/>
      <c r="D11" s="510" t="s">
        <v>235</v>
      </c>
      <c r="E11" s="487" t="s">
        <v>234</v>
      </c>
      <c r="F11" s="487" t="s">
        <v>236</v>
      </c>
      <c r="G11" s="489" t="s">
        <v>233</v>
      </c>
      <c r="H11" s="489" t="s">
        <v>237</v>
      </c>
      <c r="I11" s="489" t="s">
        <v>238</v>
      </c>
      <c r="J11" s="489" t="s">
        <v>239</v>
      </c>
      <c r="K11" s="489" t="s">
        <v>240</v>
      </c>
      <c r="L11" s="508" t="s">
        <v>228</v>
      </c>
    </row>
    <row r="12" spans="2:14" ht="15.75" thickBot="1">
      <c r="C12" s="144"/>
      <c r="D12" s="511"/>
      <c r="E12" s="488"/>
      <c r="F12" s="488"/>
      <c r="G12" s="490"/>
      <c r="H12" s="490"/>
      <c r="I12" s="490"/>
      <c r="J12" s="490"/>
      <c r="K12" s="490"/>
      <c r="L12" s="509"/>
      <c r="M12" s="120"/>
    </row>
    <row r="13" spans="2:14" ht="30.75" customHeight="1">
      <c r="C13" s="145" t="s">
        <v>241</v>
      </c>
      <c r="D13" s="173">
        <f>PRODUCT(H8,0)</f>
        <v>0</v>
      </c>
      <c r="E13" s="174">
        <f>PRODUCT(H8,0.145)</f>
        <v>43393.280000000006</v>
      </c>
      <c r="F13" s="174">
        <f>PRODUCT(H8,0.09)</f>
        <v>26933.760000000006</v>
      </c>
      <c r="G13" s="174">
        <f>PRODUCT(H8,0.392)</f>
        <v>117311.48800000003</v>
      </c>
      <c r="H13" s="174">
        <f>H8*0</f>
        <v>0</v>
      </c>
      <c r="I13" s="174">
        <f>PRODUCT(H8,0.343)</f>
        <v>102647.55200000003</v>
      </c>
      <c r="J13" s="174">
        <f>PRODUCT(H8,0.012)</f>
        <v>3591.1680000000006</v>
      </c>
      <c r="K13" s="174">
        <f>PRODUCT(H8,0.006)</f>
        <v>1795.5840000000003</v>
      </c>
      <c r="L13" s="175">
        <f>H8*0.012</f>
        <v>3591.1680000000006</v>
      </c>
      <c r="M13" s="480" t="s">
        <v>363</v>
      </c>
      <c r="N13" s="480"/>
    </row>
    <row r="14" spans="2:14" ht="16.5" thickBot="1">
      <c r="C14" s="146" t="s">
        <v>242</v>
      </c>
      <c r="D14" s="173">
        <f>PRODUCT(H9,0)</f>
        <v>0</v>
      </c>
      <c r="E14" s="174">
        <f>PRODUCT(H9,0.145)</f>
        <v>2885.5</v>
      </c>
      <c r="F14" s="174">
        <f>PRODUCT(H9,0.09)</f>
        <v>1791</v>
      </c>
      <c r="G14" s="174">
        <f>PRODUCT(H9,0.392)</f>
        <v>7800.8</v>
      </c>
      <c r="H14" s="174">
        <f>H9*0</f>
        <v>0</v>
      </c>
      <c r="I14" s="174">
        <f>PRODUCT(H9,0.343)</f>
        <v>6825.7000000000007</v>
      </c>
      <c r="J14" s="174">
        <f>PRODUCT(H9,0.012)</f>
        <v>238.8</v>
      </c>
      <c r="K14" s="174">
        <f>PRODUCT(H9,0.006)</f>
        <v>119.4</v>
      </c>
      <c r="L14" s="175">
        <f>H9*0.012</f>
        <v>238.8</v>
      </c>
      <c r="M14" s="480"/>
      <c r="N14" s="480"/>
    </row>
    <row r="15" spans="2:14" ht="56.25" customHeight="1" thickBot="1">
      <c r="C15" s="486" t="s">
        <v>326</v>
      </c>
      <c r="D15" s="486"/>
      <c r="E15" s="486"/>
      <c r="F15" s="486"/>
      <c r="G15" s="486"/>
      <c r="H15" s="486"/>
      <c r="I15" s="486"/>
      <c r="J15" s="486"/>
      <c r="K15" s="486"/>
      <c r="L15" s="486"/>
      <c r="M15" s="480"/>
      <c r="N15" s="480"/>
    </row>
    <row r="16" spans="2:14" ht="15.75">
      <c r="C16" s="148" t="s">
        <v>241</v>
      </c>
      <c r="D16" s="133">
        <f>D13*60000</f>
        <v>0</v>
      </c>
      <c r="E16" s="133">
        <f t="shared" ref="E16:L17" si="0">E13*60000</f>
        <v>2603596800.0000005</v>
      </c>
      <c r="F16" s="133">
        <f t="shared" si="0"/>
        <v>1616025600.0000002</v>
      </c>
      <c r="G16" s="133">
        <f t="shared" si="0"/>
        <v>7038689280.0000019</v>
      </c>
      <c r="H16" s="133">
        <f t="shared" si="0"/>
        <v>0</v>
      </c>
      <c r="I16" s="133">
        <f t="shared" si="0"/>
        <v>6158853120.0000019</v>
      </c>
      <c r="J16" s="133">
        <f t="shared" si="0"/>
        <v>215470080.00000003</v>
      </c>
      <c r="K16" s="133">
        <f t="shared" si="0"/>
        <v>107735040.00000001</v>
      </c>
      <c r="L16" s="134">
        <f t="shared" si="0"/>
        <v>215470080.00000003</v>
      </c>
    </row>
    <row r="17" spans="2:14" ht="16.5" thickBot="1">
      <c r="C17" s="146" t="s">
        <v>242</v>
      </c>
      <c r="D17" s="149">
        <f>D14*60000</f>
        <v>0</v>
      </c>
      <c r="E17" s="149">
        <f t="shared" si="0"/>
        <v>173130000</v>
      </c>
      <c r="F17" s="149">
        <f t="shared" si="0"/>
        <v>107460000</v>
      </c>
      <c r="G17" s="149">
        <f t="shared" si="0"/>
        <v>468048000</v>
      </c>
      <c r="H17" s="149">
        <f t="shared" si="0"/>
        <v>0</v>
      </c>
      <c r="I17" s="149">
        <f t="shared" si="0"/>
        <v>409542000.00000006</v>
      </c>
      <c r="J17" s="149">
        <f t="shared" si="0"/>
        <v>14328000</v>
      </c>
      <c r="K17" s="149">
        <f t="shared" si="0"/>
        <v>7164000</v>
      </c>
      <c r="L17" s="150">
        <f t="shared" si="0"/>
        <v>14328000</v>
      </c>
    </row>
    <row r="18" spans="2:14" ht="60" customHeight="1" thickBot="1">
      <c r="C18" s="486" t="s">
        <v>327</v>
      </c>
      <c r="D18" s="486"/>
      <c r="E18" s="486"/>
      <c r="F18" s="486"/>
      <c r="G18" s="486"/>
      <c r="H18" s="486"/>
      <c r="I18" s="486"/>
      <c r="J18" s="486"/>
      <c r="K18" s="486"/>
      <c r="L18" s="486"/>
    </row>
    <row r="19" spans="2:14" ht="15.75" customHeight="1">
      <c r="C19" s="151"/>
      <c r="D19" s="491" t="s">
        <v>243</v>
      </c>
      <c r="E19" s="483" t="s">
        <v>243</v>
      </c>
      <c r="F19" s="483" t="s">
        <v>244</v>
      </c>
      <c r="G19" s="483" t="s">
        <v>245</v>
      </c>
      <c r="H19" s="483" t="s">
        <v>246</v>
      </c>
      <c r="I19" s="483" t="s">
        <v>247</v>
      </c>
      <c r="J19" s="483" t="s">
        <v>244</v>
      </c>
      <c r="K19" s="483" t="s">
        <v>244</v>
      </c>
      <c r="L19" s="481" t="s">
        <v>248</v>
      </c>
    </row>
    <row r="20" spans="2:14" ht="16.5" thickBot="1">
      <c r="C20" s="152"/>
      <c r="D20" s="492"/>
      <c r="E20" s="484"/>
      <c r="F20" s="484"/>
      <c r="G20" s="484"/>
      <c r="H20" s="484"/>
      <c r="I20" s="484"/>
      <c r="J20" s="484"/>
      <c r="K20" s="484"/>
      <c r="L20" s="482"/>
    </row>
    <row r="21" spans="2:14" ht="15.75">
      <c r="C21" s="148" t="s">
        <v>241</v>
      </c>
      <c r="D21" s="4">
        <f>D16/91000</f>
        <v>0</v>
      </c>
      <c r="E21" s="4">
        <f>E16/91000</f>
        <v>28610.95384615385</v>
      </c>
      <c r="F21" s="4">
        <f>F16/3414</f>
        <v>473352.54833040427</v>
      </c>
      <c r="G21" s="4">
        <f>G16/140000</f>
        <v>50276.352000000014</v>
      </c>
      <c r="H21" s="4">
        <f>H16/11560</f>
        <v>0</v>
      </c>
      <c r="I21" s="4">
        <f>I16/8750</f>
        <v>703868.92800000019</v>
      </c>
      <c r="J21" s="4">
        <f>J16/3414</f>
        <v>63113.673110720571</v>
      </c>
      <c r="K21" s="4">
        <f>K16/3414</f>
        <v>31556.836555360285</v>
      </c>
      <c r="L21" s="153"/>
    </row>
    <row r="22" spans="2:14" ht="16.5" thickBot="1">
      <c r="C22" s="146" t="s">
        <v>242</v>
      </c>
      <c r="D22" s="158">
        <f>D17/91000</f>
        <v>0</v>
      </c>
      <c r="E22" s="158">
        <f>E17/91000</f>
        <v>1902.5274725274726</v>
      </c>
      <c r="F22" s="158">
        <f>F17/3414</f>
        <v>31476.27416520211</v>
      </c>
      <c r="G22" s="158">
        <f>G17/140000</f>
        <v>3343.2</v>
      </c>
      <c r="H22" s="158">
        <f>H17/11560</f>
        <v>0</v>
      </c>
      <c r="I22" s="158">
        <f>I17/8750</f>
        <v>46804.80000000001</v>
      </c>
      <c r="J22" s="158">
        <f>J17/3414</f>
        <v>4196.8365553602816</v>
      </c>
      <c r="K22" s="158">
        <f>K17/3414</f>
        <v>2098.4182776801408</v>
      </c>
      <c r="L22" s="150"/>
    </row>
    <row r="23" spans="2:14" ht="64.5" customHeight="1" thickBot="1">
      <c r="C23" s="486" t="s">
        <v>328</v>
      </c>
      <c r="D23" s="486"/>
      <c r="E23" s="486"/>
      <c r="F23" s="486"/>
      <c r="G23" s="486"/>
      <c r="H23" s="486"/>
      <c r="I23" s="486"/>
      <c r="J23" s="486"/>
      <c r="K23" s="486"/>
      <c r="L23" s="486"/>
    </row>
    <row r="24" spans="2:14" ht="15.75">
      <c r="C24" s="151"/>
      <c r="D24" s="491" t="s">
        <v>249</v>
      </c>
      <c r="E24" s="483" t="s">
        <v>249</v>
      </c>
      <c r="F24" s="483" t="s">
        <v>250</v>
      </c>
      <c r="G24" s="483" t="s">
        <v>251</v>
      </c>
      <c r="H24" s="483" t="s">
        <v>252</v>
      </c>
      <c r="I24" s="483" t="s">
        <v>253</v>
      </c>
      <c r="J24" s="483" t="s">
        <v>250</v>
      </c>
      <c r="K24" s="483" t="s">
        <v>250</v>
      </c>
      <c r="L24" s="481" t="s">
        <v>248</v>
      </c>
    </row>
    <row r="25" spans="2:14" ht="16.5" thickBot="1">
      <c r="C25" s="152"/>
      <c r="D25" s="492"/>
      <c r="E25" s="484"/>
      <c r="F25" s="484"/>
      <c r="G25" s="484"/>
      <c r="H25" s="484"/>
      <c r="I25" s="484"/>
      <c r="J25" s="484"/>
      <c r="K25" s="484"/>
      <c r="L25" s="482"/>
    </row>
    <row r="26" spans="2:14" ht="15.75">
      <c r="C26" s="148" t="s">
        <v>241</v>
      </c>
      <c r="D26" s="286">
        <f>D21*3.45</f>
        <v>0</v>
      </c>
      <c r="E26" s="287">
        <f>E21*3.45</f>
        <v>98707.790769230793</v>
      </c>
      <c r="F26" s="287">
        <f>F21*0.1471</f>
        <v>69630.159859402469</v>
      </c>
      <c r="G26" s="287">
        <f>G21*2.75</f>
        <v>138259.96800000005</v>
      </c>
      <c r="H26" s="287">
        <f>H21*0.16</f>
        <v>0</v>
      </c>
      <c r="I26" s="287">
        <f>I21*0.1687</f>
        <v>118742.68815360003</v>
      </c>
      <c r="J26" s="287">
        <f>J21*0.1471</f>
        <v>9284.0213145869966</v>
      </c>
      <c r="K26" s="287">
        <f>K21*0.1471</f>
        <v>4642.0106572934983</v>
      </c>
      <c r="L26" s="288"/>
    </row>
    <row r="27" spans="2:14" ht="16.5" thickBot="1">
      <c r="C27" s="146" t="s">
        <v>242</v>
      </c>
      <c r="D27" s="289">
        <f>D22*3.45</f>
        <v>0</v>
      </c>
      <c r="E27" s="290">
        <f>E22*3.45</f>
        <v>6563.7197802197807</v>
      </c>
      <c r="F27" s="290">
        <f>F22*0.1471</f>
        <v>4630.1599297012308</v>
      </c>
      <c r="G27" s="290">
        <f>G22*2.75</f>
        <v>9193.7999999999993</v>
      </c>
      <c r="H27" s="290">
        <f>H22*0.16</f>
        <v>0</v>
      </c>
      <c r="I27" s="290">
        <f>I22*0.1687</f>
        <v>7895.9697600000009</v>
      </c>
      <c r="J27" s="290">
        <f>J22*0.1471</f>
        <v>617.35465729349744</v>
      </c>
      <c r="K27" s="290">
        <f>K22*0.1471</f>
        <v>308.67732864674872</v>
      </c>
      <c r="L27" s="291"/>
    </row>
    <row r="28" spans="2:14" ht="15.75">
      <c r="C28" s="147"/>
    </row>
    <row r="29" spans="2:14" s="157" customFormat="1" ht="36.75" customHeight="1" thickBot="1">
      <c r="B29"/>
      <c r="C29" s="164" t="s">
        <v>255</v>
      </c>
      <c r="D29" s="164"/>
      <c r="E29"/>
      <c r="F29"/>
      <c r="G29"/>
      <c r="H29"/>
      <c r="I29"/>
      <c r="J29"/>
      <c r="K29"/>
      <c r="L29"/>
      <c r="M29"/>
      <c r="N29"/>
    </row>
    <row r="30" spans="2:14" ht="15.75">
      <c r="C30" s="493" t="s">
        <v>331</v>
      </c>
      <c r="D30" s="494"/>
      <c r="E30" s="495"/>
      <c r="F30" s="161">
        <f>SUM(D26:K26)</f>
        <v>439266.63875411381</v>
      </c>
    </row>
    <row r="31" spans="2:14" ht="15.75">
      <c r="C31" s="496" t="s">
        <v>332</v>
      </c>
      <c r="D31" s="431"/>
      <c r="E31" s="439"/>
      <c r="F31" s="162">
        <f>SUM(D27:K27)</f>
        <v>29209.681455861253</v>
      </c>
    </row>
    <row r="32" spans="2:14" ht="16.5" thickBot="1">
      <c r="C32" s="497" t="s">
        <v>254</v>
      </c>
      <c r="D32" s="498"/>
      <c r="E32" s="499"/>
      <c r="F32" s="163">
        <f>SUM(F30:F31)</f>
        <v>468476.32020997506</v>
      </c>
    </row>
    <row r="34" spans="2:14">
      <c r="B34" s="157"/>
      <c r="C34" s="157"/>
      <c r="D34" s="157"/>
      <c r="E34" s="157"/>
      <c r="F34" s="157"/>
      <c r="G34" s="157"/>
      <c r="H34" s="157"/>
      <c r="I34" s="157"/>
      <c r="J34" s="157"/>
      <c r="K34" s="157"/>
      <c r="L34" s="157"/>
      <c r="M34" s="157"/>
      <c r="N34" s="157"/>
    </row>
    <row r="35" spans="2:14" ht="16.5" thickBot="1">
      <c r="C35" s="164" t="s">
        <v>344</v>
      </c>
    </row>
    <row r="36" spans="2:14" ht="30.75" thickBot="1">
      <c r="C36" s="159"/>
      <c r="D36" s="156" t="s">
        <v>256</v>
      </c>
      <c r="E36" s="154" t="s">
        <v>257</v>
      </c>
      <c r="F36" s="154" t="s">
        <v>23</v>
      </c>
      <c r="G36" s="154" t="s">
        <v>216</v>
      </c>
      <c r="H36" s="154" t="s">
        <v>258</v>
      </c>
      <c r="I36" s="154" t="s">
        <v>259</v>
      </c>
      <c r="J36" s="154" t="s">
        <v>260</v>
      </c>
      <c r="K36" s="154" t="s">
        <v>261</v>
      </c>
      <c r="L36" s="155" t="s">
        <v>262</v>
      </c>
      <c r="M36" s="165" t="s">
        <v>263</v>
      </c>
    </row>
    <row r="37" spans="2:14" ht="15.75">
      <c r="C37" s="159" t="s">
        <v>241</v>
      </c>
      <c r="D37" s="166">
        <f>D16/M37</f>
        <v>0</v>
      </c>
      <c r="E37" s="167">
        <f>E16/M37</f>
        <v>0.14499999999999996</v>
      </c>
      <c r="F37" s="167">
        <f>F16/M37</f>
        <v>8.9999999999999969E-2</v>
      </c>
      <c r="G37" s="167">
        <f>G16/M37</f>
        <v>0.39199999999999996</v>
      </c>
      <c r="H37" s="167">
        <f>H16/M37</f>
        <v>0</v>
      </c>
      <c r="I37" s="167">
        <f>I16/M37</f>
        <v>0.34299999999999997</v>
      </c>
      <c r="J37" s="167">
        <f>J16/M37</f>
        <v>1.1999999999999997E-2</v>
      </c>
      <c r="K37" s="167">
        <f>K16/M37</f>
        <v>5.9999999999999984E-3</v>
      </c>
      <c r="L37" s="168">
        <f>L16/M37</f>
        <v>1.1999999999999997E-2</v>
      </c>
      <c r="M37" s="21">
        <f>SUM(D16:L16)</f>
        <v>17955840000.000008</v>
      </c>
    </row>
    <row r="38" spans="2:14" ht="16.5" thickBot="1">
      <c r="C38" s="131" t="s">
        <v>242</v>
      </c>
      <c r="D38" s="169">
        <f>D17/M38</f>
        <v>0</v>
      </c>
      <c r="E38" s="170">
        <f>E17/M38</f>
        <v>0.14499999999999999</v>
      </c>
      <c r="F38" s="170">
        <f>F17/M38</f>
        <v>0.09</v>
      </c>
      <c r="G38" s="170">
        <f>G17/M38</f>
        <v>0.39200000000000002</v>
      </c>
      <c r="H38" s="170">
        <f>H17/M38</f>
        <v>0</v>
      </c>
      <c r="I38" s="170">
        <f>I17/M38</f>
        <v>0.34300000000000003</v>
      </c>
      <c r="J38" s="170">
        <f>J17/M38</f>
        <v>1.2E-2</v>
      </c>
      <c r="K38" s="170">
        <f>K17/M38</f>
        <v>6.0000000000000001E-3</v>
      </c>
      <c r="L38" s="171">
        <f>L17/M38</f>
        <v>1.2E-2</v>
      </c>
      <c r="M38" s="21">
        <f>SUM(D17:L17)</f>
        <v>1194000000</v>
      </c>
    </row>
  </sheetData>
  <mergeCells count="38">
    <mergeCell ref="C30:E30"/>
    <mergeCell ref="C31:E31"/>
    <mergeCell ref="C32:E32"/>
    <mergeCell ref="B2:L2"/>
    <mergeCell ref="B3:L3"/>
    <mergeCell ref="B4:L4"/>
    <mergeCell ref="J11:J12"/>
    <mergeCell ref="K11:K12"/>
    <mergeCell ref="L11:L12"/>
    <mergeCell ref="D11:D12"/>
    <mergeCell ref="E11:E12"/>
    <mergeCell ref="D24:D25"/>
    <mergeCell ref="E24:E25"/>
    <mergeCell ref="F24:F25"/>
    <mergeCell ref="G24:G25"/>
    <mergeCell ref="H24:H25"/>
    <mergeCell ref="I24:I25"/>
    <mergeCell ref="I19:I20"/>
    <mergeCell ref="J24:J25"/>
    <mergeCell ref="K24:K25"/>
    <mergeCell ref="H19:H20"/>
    <mergeCell ref="C10:L10"/>
    <mergeCell ref="C15:L15"/>
    <mergeCell ref="C18:L18"/>
    <mergeCell ref="C23:L23"/>
    <mergeCell ref="F11:F12"/>
    <mergeCell ref="G11:G12"/>
    <mergeCell ref="H11:H12"/>
    <mergeCell ref="I11:I12"/>
    <mergeCell ref="D19:D20"/>
    <mergeCell ref="E19:E20"/>
    <mergeCell ref="F19:F20"/>
    <mergeCell ref="G19:G20"/>
    <mergeCell ref="M13:N15"/>
    <mergeCell ref="L24:L25"/>
    <mergeCell ref="J19:J20"/>
    <mergeCell ref="K19:K20"/>
    <mergeCell ref="L19:L20"/>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dimension ref="B2:X39"/>
  <sheetViews>
    <sheetView topLeftCell="A4" zoomScale="80" zoomScaleNormal="80" workbookViewId="0">
      <selection activeCell="C25" sqref="C25:N25"/>
    </sheetView>
  </sheetViews>
  <sheetFormatPr defaultColWidth="8.85546875" defaultRowHeight="15"/>
  <cols>
    <col min="1" max="1" width="2.85546875" customWidth="1"/>
    <col min="2" max="2" width="14.7109375" customWidth="1"/>
    <col min="3" max="3" width="16.7109375" customWidth="1"/>
    <col min="4" max="4" width="11.28515625" customWidth="1"/>
    <col min="5" max="5" width="15.7109375" customWidth="1"/>
    <col min="6" max="6" width="17" customWidth="1"/>
    <col min="7" max="14" width="15.28515625" customWidth="1"/>
    <col min="17" max="24" width="10.7109375" customWidth="1"/>
  </cols>
  <sheetData>
    <row r="2" spans="2:24" ht="18.75">
      <c r="B2" s="59" t="s">
        <v>171</v>
      </c>
      <c r="O2" s="68"/>
      <c r="P2" s="68"/>
      <c r="Q2" s="68"/>
    </row>
    <row r="3" spans="2:24" ht="19.5" thickBot="1">
      <c r="B3" s="46"/>
      <c r="O3" s="68"/>
      <c r="P3" s="68"/>
      <c r="Q3" s="68"/>
    </row>
    <row r="4" spans="2:24" ht="54.75" customHeight="1" thickBot="1">
      <c r="B4" s="512" t="s">
        <v>290</v>
      </c>
      <c r="C4" s="513"/>
      <c r="D4" s="513"/>
      <c r="E4" s="513"/>
      <c r="F4" s="513"/>
      <c r="G4" s="513"/>
      <c r="H4" s="513"/>
      <c r="I4" s="513"/>
      <c r="J4" s="513"/>
      <c r="K4" s="513"/>
      <c r="L4" s="513"/>
      <c r="M4" s="513"/>
      <c r="N4" s="514"/>
      <c r="O4" s="68"/>
      <c r="P4" s="68"/>
      <c r="Q4" s="68"/>
    </row>
    <row r="5" spans="2:24">
      <c r="O5" s="68"/>
      <c r="P5" s="68"/>
      <c r="Q5" s="68"/>
    </row>
    <row r="6" spans="2:24">
      <c r="C6" s="47" t="s">
        <v>172</v>
      </c>
      <c r="O6" s="68"/>
      <c r="P6" s="68"/>
      <c r="Q6" s="68"/>
    </row>
    <row r="7" spans="2:24">
      <c r="C7" s="47"/>
      <c r="O7" s="68"/>
      <c r="P7" s="68"/>
      <c r="Q7" s="68"/>
    </row>
    <row r="8" spans="2:24">
      <c r="B8" s="85" t="s">
        <v>161</v>
      </c>
      <c r="C8" s="86" t="s">
        <v>162</v>
      </c>
      <c r="D8" s="88" t="s">
        <v>163</v>
      </c>
      <c r="E8" s="115" t="s">
        <v>164</v>
      </c>
      <c r="F8" s="87" t="s">
        <v>165</v>
      </c>
      <c r="G8" s="86" t="s">
        <v>166</v>
      </c>
      <c r="H8" s="86" t="s">
        <v>291</v>
      </c>
      <c r="I8" s="86" t="s">
        <v>292</v>
      </c>
      <c r="J8" s="86" t="s">
        <v>293</v>
      </c>
      <c r="K8" s="86" t="s">
        <v>294</v>
      </c>
      <c r="L8" s="86" t="s">
        <v>295</v>
      </c>
      <c r="M8" s="86" t="s">
        <v>296</v>
      </c>
      <c r="N8" s="88" t="s">
        <v>297</v>
      </c>
      <c r="P8" s="568"/>
      <c r="Q8" s="568"/>
      <c r="R8" s="119"/>
      <c r="S8" s="119"/>
      <c r="T8" s="119"/>
      <c r="U8" s="119"/>
      <c r="V8" s="119"/>
      <c r="W8" s="119"/>
      <c r="X8" s="119"/>
    </row>
    <row r="9" spans="2:24" ht="14.1" customHeight="1">
      <c r="B9" s="565" t="s">
        <v>364</v>
      </c>
      <c r="C9" s="114" t="s">
        <v>156</v>
      </c>
      <c r="D9" s="116" t="s">
        <v>156</v>
      </c>
      <c r="E9" s="571" t="s">
        <v>313</v>
      </c>
      <c r="F9" s="567">
        <v>166</v>
      </c>
      <c r="G9" s="567">
        <v>3602765</v>
      </c>
      <c r="H9" s="567">
        <v>3786379</v>
      </c>
      <c r="I9" s="567">
        <v>3713593</v>
      </c>
      <c r="J9" s="567">
        <v>3986017</v>
      </c>
      <c r="K9" s="567">
        <v>3957174</v>
      </c>
      <c r="L9" s="567">
        <v>3975242</v>
      </c>
      <c r="M9" s="567">
        <v>3900065</v>
      </c>
      <c r="N9" s="567">
        <v>3957040.041038</v>
      </c>
      <c r="P9" s="570"/>
      <c r="Q9" s="570"/>
      <c r="R9" s="570"/>
      <c r="S9" s="570"/>
      <c r="T9" s="570"/>
      <c r="U9" s="570"/>
      <c r="V9" s="570"/>
      <c r="W9" s="570"/>
      <c r="X9" s="570"/>
    </row>
    <row r="10" spans="2:24">
      <c r="B10" s="566" t="s">
        <v>364</v>
      </c>
      <c r="C10" s="113" t="s">
        <v>156</v>
      </c>
      <c r="D10" s="117" t="s">
        <v>156</v>
      </c>
      <c r="E10" s="571" t="s">
        <v>312</v>
      </c>
      <c r="F10" s="567">
        <v>1215</v>
      </c>
      <c r="G10" s="567">
        <v>6654665</v>
      </c>
      <c r="H10" s="567">
        <v>6426967</v>
      </c>
      <c r="I10" s="567">
        <v>6457499</v>
      </c>
      <c r="J10" s="567">
        <v>6582860</v>
      </c>
      <c r="K10" s="567">
        <v>6715146</v>
      </c>
      <c r="L10" s="567">
        <v>6336703</v>
      </c>
      <c r="M10" s="567">
        <v>6637098</v>
      </c>
      <c r="N10" s="567">
        <v>6848553.0497869998</v>
      </c>
      <c r="P10" s="570"/>
      <c r="Q10" s="570"/>
      <c r="R10" s="570"/>
      <c r="S10" s="570"/>
      <c r="T10" s="570"/>
      <c r="U10" s="570"/>
      <c r="V10" s="570"/>
      <c r="W10" s="570"/>
      <c r="X10" s="570"/>
    </row>
    <row r="11" spans="2:24">
      <c r="B11" s="89"/>
      <c r="C11" s="90"/>
      <c r="D11" s="90"/>
      <c r="E11" s="85" t="s">
        <v>164</v>
      </c>
      <c r="F11" s="93"/>
      <c r="G11" s="86" t="s">
        <v>266</v>
      </c>
      <c r="H11" s="86" t="s">
        <v>298</v>
      </c>
      <c r="I11" s="86" t="s">
        <v>299</v>
      </c>
      <c r="J11" s="86" t="s">
        <v>300</v>
      </c>
      <c r="K11" s="86" t="s">
        <v>301</v>
      </c>
      <c r="L11" s="86" t="s">
        <v>302</v>
      </c>
      <c r="M11" s="86" t="s">
        <v>303</v>
      </c>
      <c r="N11" s="88" t="s">
        <v>304</v>
      </c>
      <c r="P11" s="68"/>
      <c r="Q11" s="68"/>
    </row>
    <row r="12" spans="2:24">
      <c r="B12" s="89"/>
      <c r="C12" s="90"/>
      <c r="D12" s="90"/>
      <c r="E12" s="94" t="s">
        <v>159</v>
      </c>
      <c r="F12" s="95"/>
      <c r="G12" s="96">
        <f>(G9)/293.07</f>
        <v>12293.189340430614</v>
      </c>
      <c r="H12" s="96">
        <f t="shared" ref="H12:N13" si="0">(H9)/293.07</f>
        <v>12919.708602040468</v>
      </c>
      <c r="I12" s="96">
        <f t="shared" si="0"/>
        <v>12671.351554236189</v>
      </c>
      <c r="J12" s="96">
        <f t="shared" si="0"/>
        <v>13600.904220834613</v>
      </c>
      <c r="K12" s="96">
        <f t="shared" si="0"/>
        <v>13502.487460333708</v>
      </c>
      <c r="L12" s="96">
        <f t="shared" si="0"/>
        <v>13564.138260483844</v>
      </c>
      <c r="M12" s="96">
        <f t="shared" si="0"/>
        <v>13307.622752243491</v>
      </c>
      <c r="N12" s="97">
        <f t="shared" si="0"/>
        <v>13502.030371713243</v>
      </c>
      <c r="P12" s="68"/>
      <c r="Q12" s="68"/>
    </row>
    <row r="13" spans="2:24">
      <c r="B13" s="91"/>
      <c r="C13" s="92"/>
      <c r="D13" s="92"/>
      <c r="E13" s="98" t="s">
        <v>160</v>
      </c>
      <c r="F13" s="92"/>
      <c r="G13" s="569">
        <f>(G10)/293.07</f>
        <v>22706.74241648753</v>
      </c>
      <c r="H13" s="569">
        <f t="shared" si="0"/>
        <v>21929.801753847205</v>
      </c>
      <c r="I13" s="569">
        <f t="shared" si="0"/>
        <v>22033.981642610979</v>
      </c>
      <c r="J13" s="569">
        <f t="shared" si="0"/>
        <v>22461.732691848363</v>
      </c>
      <c r="K13" s="569">
        <f t="shared" si="0"/>
        <v>22913.112908178933</v>
      </c>
      <c r="L13" s="569">
        <f t="shared" si="0"/>
        <v>21621.807076807589</v>
      </c>
      <c r="M13" s="569">
        <f t="shared" si="0"/>
        <v>22646.801105537928</v>
      </c>
      <c r="N13" s="572">
        <f t="shared" si="0"/>
        <v>23368.318319128535</v>
      </c>
      <c r="P13" s="68"/>
      <c r="Q13" s="68"/>
    </row>
    <row r="14" spans="2:24">
      <c r="B14" s="89"/>
      <c r="C14" s="90"/>
      <c r="D14" s="90"/>
      <c r="E14" s="85" t="s">
        <v>164</v>
      </c>
      <c r="F14" s="93"/>
      <c r="G14" s="86" t="s">
        <v>173</v>
      </c>
      <c r="H14" s="86" t="s">
        <v>305</v>
      </c>
      <c r="I14" s="86" t="s">
        <v>306</v>
      </c>
      <c r="J14" s="86" t="s">
        <v>307</v>
      </c>
      <c r="K14" s="86" t="s">
        <v>308</v>
      </c>
      <c r="L14" s="86" t="s">
        <v>309</v>
      </c>
      <c r="M14" s="86" t="s">
        <v>310</v>
      </c>
      <c r="N14" s="88" t="s">
        <v>311</v>
      </c>
      <c r="P14" s="68"/>
      <c r="Q14" s="68"/>
    </row>
    <row r="15" spans="2:24">
      <c r="B15" s="89"/>
      <c r="C15" s="90"/>
      <c r="D15" s="90"/>
      <c r="E15" s="94" t="s">
        <v>159</v>
      </c>
      <c r="F15" s="95"/>
      <c r="G15" s="95">
        <f>(G9)/1000000</f>
        <v>3.6027650000000002</v>
      </c>
      <c r="H15" s="95">
        <f t="shared" ref="H15:N16" si="1">(H9)/1000000</f>
        <v>3.7863790000000002</v>
      </c>
      <c r="I15" s="95">
        <f t="shared" si="1"/>
        <v>3.7135929999999999</v>
      </c>
      <c r="J15" s="95">
        <f t="shared" si="1"/>
        <v>3.9860169999999999</v>
      </c>
      <c r="K15" s="95">
        <f t="shared" si="1"/>
        <v>3.9571740000000002</v>
      </c>
      <c r="L15" s="95">
        <f t="shared" si="1"/>
        <v>3.9752420000000002</v>
      </c>
      <c r="M15" s="95">
        <f t="shared" si="1"/>
        <v>3.9000650000000001</v>
      </c>
      <c r="N15" s="99">
        <f t="shared" si="1"/>
        <v>3.9570400410380002</v>
      </c>
      <c r="P15" s="68"/>
      <c r="Q15" s="68"/>
    </row>
    <row r="16" spans="2:24">
      <c r="B16" s="91"/>
      <c r="C16" s="92"/>
      <c r="D16" s="92"/>
      <c r="E16" s="98" t="s">
        <v>160</v>
      </c>
      <c r="F16" s="92"/>
      <c r="G16" s="573">
        <f>(G10)/1000000</f>
        <v>6.6546649999999996</v>
      </c>
      <c r="H16" s="573">
        <f t="shared" si="1"/>
        <v>6.4269670000000003</v>
      </c>
      <c r="I16" s="573">
        <f t="shared" si="1"/>
        <v>6.4574990000000003</v>
      </c>
      <c r="J16" s="573">
        <f t="shared" si="1"/>
        <v>6.5828600000000002</v>
      </c>
      <c r="K16" s="573">
        <f t="shared" si="1"/>
        <v>6.7151459999999998</v>
      </c>
      <c r="L16" s="573">
        <f t="shared" si="1"/>
        <v>6.336703</v>
      </c>
      <c r="M16" s="573">
        <f t="shared" si="1"/>
        <v>6.6370979999999999</v>
      </c>
      <c r="N16" s="574">
        <f t="shared" si="1"/>
        <v>6.8485530497870002</v>
      </c>
      <c r="P16" s="68"/>
      <c r="Q16" s="68"/>
    </row>
    <row r="17" spans="2:17" ht="33" customHeight="1">
      <c r="B17" s="70"/>
      <c r="C17" s="68"/>
      <c r="D17" s="68"/>
      <c r="E17" s="68"/>
      <c r="F17" s="68"/>
      <c r="G17" s="69"/>
      <c r="H17" s="69"/>
      <c r="I17" s="69"/>
      <c r="J17" s="69"/>
      <c r="K17" s="69"/>
      <c r="L17" s="69"/>
      <c r="M17" s="69"/>
      <c r="N17" s="69"/>
      <c r="P17" s="68"/>
      <c r="Q17" s="68"/>
    </row>
    <row r="18" spans="2:17" ht="22.5" customHeight="1">
      <c r="B18" s="239">
        <f>SUM(F9:F10)</f>
        <v>1381</v>
      </c>
      <c r="C18" s="525" t="s">
        <v>174</v>
      </c>
      <c r="D18" s="525"/>
      <c r="E18" s="525"/>
      <c r="F18" s="525"/>
      <c r="G18" s="525"/>
      <c r="H18" s="525"/>
      <c r="I18" s="525"/>
      <c r="J18" s="525"/>
      <c r="K18" s="525"/>
      <c r="L18" s="525"/>
      <c r="M18" s="525"/>
      <c r="N18" s="526"/>
      <c r="P18" s="68"/>
      <c r="Q18" s="68"/>
    </row>
    <row r="19" spans="2:17" ht="22.5" customHeight="1">
      <c r="B19" s="240">
        <f>F9/B18</f>
        <v>0.12020275162925416</v>
      </c>
      <c r="C19" s="527" t="s">
        <v>175</v>
      </c>
      <c r="D19" s="527"/>
      <c r="E19" s="527"/>
      <c r="F19" s="527"/>
      <c r="G19" s="527"/>
      <c r="H19" s="527"/>
      <c r="I19" s="527"/>
      <c r="J19" s="527"/>
      <c r="K19" s="527"/>
      <c r="L19" s="527"/>
      <c r="M19" s="527"/>
      <c r="N19" s="528"/>
      <c r="O19" s="68"/>
      <c r="P19" s="68"/>
      <c r="Q19" s="68"/>
    </row>
    <row r="20" spans="2:17" ht="22.5" customHeight="1">
      <c r="B20" s="240">
        <f>F10/B18</f>
        <v>0.8797972483707458</v>
      </c>
      <c r="C20" s="529" t="s">
        <v>176</v>
      </c>
      <c r="D20" s="529"/>
      <c r="E20" s="529"/>
      <c r="F20" s="529"/>
      <c r="G20" s="529"/>
      <c r="H20" s="529"/>
      <c r="I20" s="529"/>
      <c r="J20" s="529"/>
      <c r="K20" s="529"/>
      <c r="L20" s="529"/>
      <c r="M20" s="529"/>
      <c r="N20" s="530"/>
      <c r="P20" s="68"/>
      <c r="Q20" s="68"/>
    </row>
    <row r="21" spans="2:17" ht="22.5" customHeight="1">
      <c r="B21" s="240">
        <f>N12/B24</f>
        <v>0.36620294765660871</v>
      </c>
      <c r="C21" s="527" t="s">
        <v>177</v>
      </c>
      <c r="D21" s="527"/>
      <c r="E21" s="527"/>
      <c r="F21" s="527"/>
      <c r="G21" s="527"/>
      <c r="H21" s="527"/>
      <c r="I21" s="527"/>
      <c r="J21" s="527"/>
      <c r="K21" s="527"/>
      <c r="L21" s="527"/>
      <c r="M21" s="527"/>
      <c r="N21" s="528"/>
      <c r="P21" s="68"/>
      <c r="Q21" s="68"/>
    </row>
    <row r="22" spans="2:17" ht="22.5" customHeight="1">
      <c r="B22" s="241">
        <f>N13/B24</f>
        <v>0.63379705234339134</v>
      </c>
      <c r="C22" s="531" t="s">
        <v>178</v>
      </c>
      <c r="D22" s="531"/>
      <c r="E22" s="531"/>
      <c r="F22" s="531"/>
      <c r="G22" s="531"/>
      <c r="H22" s="531"/>
      <c r="I22" s="531"/>
      <c r="J22" s="531"/>
      <c r="K22" s="531"/>
      <c r="L22" s="531"/>
      <c r="M22" s="531"/>
      <c r="N22" s="532"/>
      <c r="P22" s="68"/>
      <c r="Q22" s="68"/>
    </row>
    <row r="23" spans="2:17" ht="9.75" customHeight="1">
      <c r="B23" s="202"/>
      <c r="C23" s="68"/>
      <c r="D23" s="68"/>
      <c r="E23" s="68"/>
      <c r="F23" s="68"/>
      <c r="G23" s="68"/>
      <c r="H23" s="68"/>
      <c r="I23" s="68"/>
      <c r="J23" s="68"/>
      <c r="K23" s="68"/>
      <c r="L23" s="68"/>
      <c r="M23" s="68"/>
      <c r="N23" s="68"/>
      <c r="P23" s="68"/>
      <c r="Q23" s="68"/>
    </row>
    <row r="24" spans="2:17" ht="22.5" customHeight="1">
      <c r="B24" s="242">
        <f>SUM(N12:N13)</f>
        <v>36870.348690841776</v>
      </c>
      <c r="C24" s="517" t="s">
        <v>179</v>
      </c>
      <c r="D24" s="517"/>
      <c r="E24" s="517"/>
      <c r="F24" s="517"/>
      <c r="G24" s="517"/>
      <c r="H24" s="517"/>
      <c r="I24" s="517"/>
      <c r="J24" s="517"/>
      <c r="K24" s="517"/>
      <c r="L24" s="517"/>
      <c r="M24" s="517"/>
      <c r="N24" s="518"/>
      <c r="P24" s="68"/>
      <c r="Q24" s="68"/>
    </row>
    <row r="25" spans="2:17" ht="22.5" customHeight="1">
      <c r="B25" s="243">
        <f>SUM(N9:N10)</f>
        <v>10805593.090824999</v>
      </c>
      <c r="C25" s="519" t="s">
        <v>180</v>
      </c>
      <c r="D25" s="519"/>
      <c r="E25" s="519"/>
      <c r="F25" s="519"/>
      <c r="G25" s="519"/>
      <c r="H25" s="519"/>
      <c r="I25" s="519"/>
      <c r="J25" s="519"/>
      <c r="K25" s="519"/>
      <c r="L25" s="519"/>
      <c r="M25" s="519"/>
      <c r="N25" s="520"/>
      <c r="P25" s="68"/>
      <c r="Q25" s="68"/>
    </row>
    <row r="26" spans="2:17" ht="9" customHeight="1">
      <c r="B26" s="202"/>
      <c r="C26" s="77"/>
      <c r="D26" s="77"/>
      <c r="E26" s="77"/>
      <c r="F26" s="77"/>
      <c r="G26" s="77"/>
    </row>
    <row r="27" spans="2:17" ht="22.5" customHeight="1">
      <c r="B27" s="244">
        <f>N13</f>
        <v>23368.318319128535</v>
      </c>
      <c r="C27" s="517" t="s">
        <v>181</v>
      </c>
      <c r="D27" s="517"/>
      <c r="E27" s="517"/>
      <c r="F27" s="517"/>
      <c r="G27" s="517"/>
      <c r="H27" s="517"/>
      <c r="I27" s="517"/>
      <c r="J27" s="517"/>
      <c r="K27" s="517"/>
      <c r="L27" s="517"/>
      <c r="M27" s="517"/>
      <c r="N27" s="518"/>
    </row>
    <row r="28" spans="2:17" ht="22.5" customHeight="1">
      <c r="B28" s="245">
        <f>N10</f>
        <v>6848553.0497869998</v>
      </c>
      <c r="C28" s="521" t="s">
        <v>182</v>
      </c>
      <c r="D28" s="521"/>
      <c r="E28" s="521"/>
      <c r="F28" s="521"/>
      <c r="G28" s="521"/>
      <c r="H28" s="521"/>
      <c r="I28" s="521"/>
      <c r="J28" s="521"/>
      <c r="K28" s="521"/>
      <c r="L28" s="521"/>
      <c r="M28" s="521"/>
      <c r="N28" s="522"/>
    </row>
    <row r="29" spans="2:17" ht="22.5" customHeight="1">
      <c r="B29" s="245">
        <f>N12</f>
        <v>13502.030371713243</v>
      </c>
      <c r="C29" s="523" t="s">
        <v>183</v>
      </c>
      <c r="D29" s="523"/>
      <c r="E29" s="523"/>
      <c r="F29" s="523"/>
      <c r="G29" s="523"/>
      <c r="H29" s="523"/>
      <c r="I29" s="523"/>
      <c r="J29" s="523"/>
      <c r="K29" s="523"/>
      <c r="L29" s="523"/>
      <c r="M29" s="523"/>
      <c r="N29" s="524"/>
    </row>
    <row r="30" spans="2:17" ht="22.5" customHeight="1">
      <c r="B30" s="243">
        <f>N9</f>
        <v>3957040.041038</v>
      </c>
      <c r="C30" s="515" t="s">
        <v>184</v>
      </c>
      <c r="D30" s="515"/>
      <c r="E30" s="515"/>
      <c r="F30" s="515"/>
      <c r="G30" s="515"/>
      <c r="H30" s="515"/>
      <c r="I30" s="515"/>
      <c r="J30" s="515"/>
      <c r="K30" s="515"/>
      <c r="L30" s="515"/>
      <c r="M30" s="515"/>
      <c r="N30" s="516"/>
    </row>
    <row r="31" spans="2:17" ht="15.75">
      <c r="B31" s="48"/>
      <c r="C31" s="77"/>
      <c r="D31" s="77"/>
      <c r="E31" s="77"/>
      <c r="F31" s="77"/>
      <c r="G31" s="77"/>
      <c r="H31" s="68"/>
      <c r="I31" s="68"/>
      <c r="J31" s="68"/>
      <c r="K31" s="68"/>
      <c r="L31" s="68"/>
      <c r="M31" s="68"/>
      <c r="N31" s="68"/>
    </row>
    <row r="32" spans="2:17" ht="15.75">
      <c r="B32" s="48"/>
      <c r="C32" s="77"/>
      <c r="D32" s="77"/>
      <c r="E32" s="77"/>
      <c r="F32" s="77"/>
      <c r="G32" s="77"/>
      <c r="H32" s="68"/>
      <c r="I32" s="68"/>
      <c r="J32" s="68"/>
      <c r="K32" s="68"/>
      <c r="L32" s="68"/>
      <c r="M32" s="68"/>
      <c r="N32" s="68"/>
    </row>
    <row r="33" spans="3:14" ht="15.75">
      <c r="C33" s="77"/>
      <c r="D33" s="77"/>
      <c r="E33" s="77"/>
      <c r="F33" s="77"/>
      <c r="G33" s="77"/>
      <c r="H33" s="68"/>
      <c r="I33" s="68"/>
      <c r="J33" s="68"/>
      <c r="K33" s="68"/>
      <c r="L33" s="68"/>
      <c r="M33" s="68"/>
      <c r="N33" s="68"/>
    </row>
    <row r="34" spans="3:14">
      <c r="C34" s="68"/>
      <c r="D34" s="68"/>
      <c r="E34" s="68"/>
      <c r="F34" s="68"/>
      <c r="G34" s="68"/>
      <c r="H34" s="68"/>
      <c r="I34" s="68"/>
      <c r="J34" s="68"/>
      <c r="K34" s="68"/>
      <c r="L34" s="68"/>
      <c r="M34" s="68"/>
      <c r="N34" s="68"/>
    </row>
    <row r="35" spans="3:14">
      <c r="C35" s="68"/>
      <c r="D35" s="68"/>
      <c r="E35" s="68"/>
      <c r="F35" s="68"/>
      <c r="G35" s="68"/>
      <c r="H35" s="68"/>
      <c r="I35" s="68"/>
      <c r="J35" s="68"/>
      <c r="K35" s="68"/>
      <c r="L35" s="68"/>
      <c r="M35" s="68"/>
      <c r="N35" s="68"/>
    </row>
    <row r="36" spans="3:14">
      <c r="C36" s="68"/>
      <c r="D36" s="68"/>
      <c r="E36" s="68"/>
      <c r="F36" s="68"/>
      <c r="G36" s="68"/>
      <c r="H36" s="68"/>
      <c r="I36" s="68"/>
      <c r="J36" s="68"/>
      <c r="K36" s="68"/>
      <c r="L36" s="68"/>
      <c r="M36" s="68"/>
      <c r="N36" s="68"/>
    </row>
    <row r="37" spans="3:14">
      <c r="C37" s="68"/>
      <c r="D37" s="68"/>
      <c r="E37" s="68"/>
      <c r="F37" s="68"/>
      <c r="G37" s="68"/>
      <c r="H37" s="68"/>
      <c r="I37" s="68"/>
      <c r="J37" s="68"/>
      <c r="K37" s="68"/>
      <c r="L37" s="68"/>
      <c r="M37" s="68"/>
      <c r="N37" s="68"/>
    </row>
    <row r="38" spans="3:14">
      <c r="C38" s="68"/>
      <c r="D38" s="68"/>
      <c r="E38" s="68"/>
      <c r="F38" s="68"/>
      <c r="G38" s="68"/>
      <c r="H38" s="68"/>
      <c r="I38" s="68"/>
      <c r="J38" s="68"/>
      <c r="K38" s="68"/>
      <c r="L38" s="68"/>
      <c r="M38" s="68"/>
      <c r="N38" s="68"/>
    </row>
    <row r="39" spans="3:14">
      <c r="C39" s="68"/>
      <c r="D39" s="68"/>
      <c r="E39" s="68"/>
      <c r="F39" s="68"/>
      <c r="G39" s="68"/>
      <c r="H39" s="68"/>
      <c r="I39" s="68"/>
      <c r="J39" s="68"/>
      <c r="K39" s="68"/>
      <c r="L39" s="68"/>
      <c r="M39" s="68"/>
      <c r="N39" s="68"/>
    </row>
  </sheetData>
  <mergeCells count="12">
    <mergeCell ref="B4:N4"/>
    <mergeCell ref="C30:N30"/>
    <mergeCell ref="C24:N24"/>
    <mergeCell ref="C25:N25"/>
    <mergeCell ref="C27:N27"/>
    <mergeCell ref="C28:N28"/>
    <mergeCell ref="C29:N29"/>
    <mergeCell ref="C18:N18"/>
    <mergeCell ref="C19:N19"/>
    <mergeCell ref="C20:N20"/>
    <mergeCell ref="C21:N21"/>
    <mergeCell ref="C22:N2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dimension ref="A1:K13"/>
  <sheetViews>
    <sheetView zoomScale="80" zoomScaleNormal="80" workbookViewId="0">
      <selection activeCell="C23" sqref="C23"/>
    </sheetView>
  </sheetViews>
  <sheetFormatPr defaultColWidth="8.85546875" defaultRowHeight="15"/>
  <cols>
    <col min="1" max="1" width="3.28515625" style="176" customWidth="1"/>
    <col min="2" max="2" width="14.140625" customWidth="1"/>
    <col min="3" max="3" width="41.28515625" customWidth="1"/>
    <col min="4" max="4" width="17.85546875" customWidth="1"/>
    <col min="5" max="5" width="26.42578125" customWidth="1"/>
    <col min="6" max="6" width="31.85546875" customWidth="1"/>
  </cols>
  <sheetData>
    <row r="1" spans="2:11" ht="15.75" thickBot="1"/>
    <row r="2" spans="2:11" ht="102" customHeight="1" thickBot="1">
      <c r="B2" s="533" t="s">
        <v>316</v>
      </c>
      <c r="C2" s="534"/>
      <c r="D2" s="534"/>
      <c r="E2" s="534"/>
      <c r="F2" s="535"/>
    </row>
    <row r="4" spans="2:11" s="247" customFormat="1" ht="15.75">
      <c r="B4" s="538" t="s">
        <v>315</v>
      </c>
      <c r="C4" s="538"/>
      <c r="D4" s="538"/>
      <c r="E4" s="538"/>
      <c r="F4" s="538"/>
      <c r="G4" s="538"/>
      <c r="H4" s="538"/>
      <c r="I4" s="538"/>
      <c r="J4" s="538"/>
      <c r="K4" s="538"/>
    </row>
    <row r="6" spans="2:11" ht="15.75">
      <c r="B6" s="100">
        <v>187</v>
      </c>
      <c r="C6" s="541" t="s">
        <v>314</v>
      </c>
      <c r="D6" s="542"/>
      <c r="E6" s="363" t="s">
        <v>167</v>
      </c>
      <c r="F6" s="365" t="s">
        <v>129</v>
      </c>
    </row>
    <row r="7" spans="2:11" ht="29.1" customHeight="1">
      <c r="B7" s="101"/>
      <c r="C7" s="543"/>
      <c r="D7" s="543"/>
      <c r="E7" s="539"/>
      <c r="F7" s="540"/>
    </row>
    <row r="8" spans="2:11" ht="15.75">
      <c r="B8" s="102">
        <v>7.0000000000000007E-2</v>
      </c>
      <c r="C8" s="103" t="s">
        <v>125</v>
      </c>
      <c r="D8" s="544" t="s">
        <v>185</v>
      </c>
      <c r="E8" s="106">
        <f>B6*B8</f>
        <v>13.090000000000002</v>
      </c>
      <c r="F8" s="5">
        <f>E8*0</f>
        <v>0</v>
      </c>
    </row>
    <row r="9" spans="2:11" ht="15.75">
      <c r="B9" s="102">
        <v>0.33300000000000002</v>
      </c>
      <c r="C9" s="103" t="s">
        <v>126</v>
      </c>
      <c r="D9" s="544"/>
      <c r="E9" s="106">
        <f>B9*B6</f>
        <v>62.271000000000001</v>
      </c>
      <c r="F9" s="5">
        <f>E9*1</f>
        <v>62.271000000000001</v>
      </c>
    </row>
    <row r="10" spans="2:11" ht="15.75">
      <c r="B10" s="102">
        <v>0.40699999999999997</v>
      </c>
      <c r="C10" s="103" t="s">
        <v>127</v>
      </c>
      <c r="D10" s="544"/>
      <c r="E10" s="106">
        <f>B10*B6</f>
        <v>76.108999999999995</v>
      </c>
      <c r="F10" s="5">
        <f>E10*2</f>
        <v>152.21799999999999</v>
      </c>
    </row>
    <row r="11" spans="2:11" ht="15.75">
      <c r="B11" s="104">
        <v>0.19</v>
      </c>
      <c r="C11" s="105" t="s">
        <v>128</v>
      </c>
      <c r="D11" s="545"/>
      <c r="E11" s="107">
        <f>B11*B6</f>
        <v>35.53</v>
      </c>
      <c r="F11" s="19">
        <f>E11*3</f>
        <v>106.59</v>
      </c>
    </row>
    <row r="12" spans="2:11" ht="16.5" thickBot="1">
      <c r="B12" s="77"/>
    </row>
    <row r="13" spans="2:11" s="120" customFormat="1" ht="16.5" thickBot="1">
      <c r="B13" s="246">
        <f>SUM(F8:F11)</f>
        <v>321.07899999999995</v>
      </c>
      <c r="C13" s="536" t="s">
        <v>186</v>
      </c>
      <c r="D13" s="536"/>
      <c r="E13" s="536"/>
      <c r="F13" s="537"/>
    </row>
  </sheetData>
  <mergeCells count="7">
    <mergeCell ref="B2:F2"/>
    <mergeCell ref="C13:F13"/>
    <mergeCell ref="B4:K4"/>
    <mergeCell ref="E6:E7"/>
    <mergeCell ref="F6:F7"/>
    <mergeCell ref="C6:D7"/>
    <mergeCell ref="D8:D11"/>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B1:L42"/>
  <sheetViews>
    <sheetView zoomScale="80" zoomScaleNormal="80" workbookViewId="0">
      <selection activeCell="F30" sqref="F30"/>
    </sheetView>
  </sheetViews>
  <sheetFormatPr defaultColWidth="8.85546875" defaultRowHeight="15"/>
  <cols>
    <col min="1" max="1" width="2.42578125" customWidth="1"/>
    <col min="2" max="2" width="27.42578125" customWidth="1"/>
    <col min="3" max="3" width="20" customWidth="1"/>
    <col min="4" max="4" width="17.7109375" customWidth="1"/>
    <col min="5" max="5" width="14.7109375" customWidth="1"/>
    <col min="6" max="6" width="14.85546875" customWidth="1"/>
    <col min="7" max="7" width="22" customWidth="1"/>
    <col min="8" max="8" width="18.28515625" customWidth="1"/>
    <col min="9" max="9" width="18" customWidth="1"/>
    <col min="10" max="10" width="2.5703125" style="176" customWidth="1"/>
    <col min="11" max="11" width="17.42578125" customWidth="1"/>
    <col min="12" max="12" width="14" customWidth="1"/>
  </cols>
  <sheetData>
    <row r="1" spans="2:12" ht="13.5" customHeight="1" thickBot="1"/>
    <row r="2" spans="2:12" s="176" customFormat="1" ht="99" customHeight="1" thickBot="1">
      <c r="B2" s="533" t="s">
        <v>317</v>
      </c>
      <c r="C2" s="546"/>
      <c r="D2" s="546"/>
      <c r="E2" s="546"/>
      <c r="F2" s="546"/>
      <c r="G2" s="546"/>
      <c r="H2" s="546"/>
      <c r="I2" s="546"/>
      <c r="J2" s="546"/>
      <c r="K2" s="546"/>
      <c r="L2" s="547"/>
    </row>
    <row r="3" spans="2:12" s="176" customFormat="1" ht="13.5" customHeight="1" thickBot="1"/>
    <row r="4" spans="2:12" s="220" customFormat="1" ht="44.25" customHeight="1">
      <c r="B4" s="236" t="s">
        <v>130</v>
      </c>
      <c r="C4" s="233" t="s">
        <v>281</v>
      </c>
      <c r="D4" s="234" t="s">
        <v>280</v>
      </c>
      <c r="E4" s="235" t="s">
        <v>282</v>
      </c>
      <c r="F4" s="218" t="s">
        <v>283</v>
      </c>
      <c r="G4" s="219" t="s">
        <v>285</v>
      </c>
      <c r="H4" s="218" t="s">
        <v>189</v>
      </c>
      <c r="I4" s="232" t="s">
        <v>190</v>
      </c>
      <c r="J4" s="238"/>
      <c r="K4" s="218" t="s">
        <v>193</v>
      </c>
      <c r="L4" s="219" t="s">
        <v>192</v>
      </c>
    </row>
    <row r="5" spans="2:12">
      <c r="B5" s="554" t="s">
        <v>131</v>
      </c>
      <c r="C5" s="555">
        <v>378</v>
      </c>
      <c r="D5" s="198">
        <f>C5/C35</f>
        <v>8.250032738225152E-3</v>
      </c>
      <c r="E5" s="224">
        <v>231</v>
      </c>
      <c r="F5" s="208">
        <v>181</v>
      </c>
      <c r="G5" s="209">
        <v>50</v>
      </c>
      <c r="H5" s="208">
        <v>147</v>
      </c>
      <c r="I5" s="209">
        <v>34</v>
      </c>
      <c r="J5" s="205"/>
      <c r="K5" s="214">
        <f>F5/E5</f>
        <v>0.78354978354978355</v>
      </c>
      <c r="L5" s="215">
        <f>G5/E5</f>
        <v>0.21645021645021645</v>
      </c>
    </row>
    <row r="6" spans="2:12">
      <c r="B6" s="144" t="s">
        <v>132</v>
      </c>
      <c r="C6" s="222">
        <v>11841</v>
      </c>
      <c r="D6" s="196">
        <f>C6/C35</f>
        <v>0.25843554934741803</v>
      </c>
      <c r="E6" s="221">
        <v>5998</v>
      </c>
      <c r="F6" s="206">
        <v>5562</v>
      </c>
      <c r="G6" s="207">
        <v>436</v>
      </c>
      <c r="H6" s="206">
        <v>2855</v>
      </c>
      <c r="I6" s="207">
        <v>2707</v>
      </c>
      <c r="J6" s="197"/>
      <c r="K6" s="212">
        <f t="shared" ref="K6:K31" si="0">F6/E6</f>
        <v>0.92730910303434477</v>
      </c>
      <c r="L6" s="213">
        <f t="shared" ref="L6:L31" si="1">G6/E6</f>
        <v>7.2690896965655213E-2</v>
      </c>
    </row>
    <row r="7" spans="2:12">
      <c r="B7" s="144" t="s">
        <v>133</v>
      </c>
      <c r="C7" s="222">
        <v>646</v>
      </c>
      <c r="D7" s="196">
        <f>C7/C35</f>
        <v>1.4099262298659916E-2</v>
      </c>
      <c r="E7" s="221">
        <v>294</v>
      </c>
      <c r="F7" s="206">
        <v>206</v>
      </c>
      <c r="G7" s="207">
        <v>88</v>
      </c>
      <c r="H7" s="206">
        <v>171</v>
      </c>
      <c r="I7" s="207">
        <v>35</v>
      </c>
      <c r="J7" s="197"/>
      <c r="K7" s="212">
        <f t="shared" si="0"/>
        <v>0.70068027210884354</v>
      </c>
      <c r="L7" s="213">
        <f t="shared" si="1"/>
        <v>0.29931972789115646</v>
      </c>
    </row>
    <row r="8" spans="2:12">
      <c r="B8" s="228" t="s">
        <v>134</v>
      </c>
      <c r="C8" s="223">
        <v>1337</v>
      </c>
      <c r="D8" s="198">
        <f>C8/C35</f>
        <v>2.9180671351870444E-2</v>
      </c>
      <c r="E8" s="224">
        <v>3054</v>
      </c>
      <c r="F8" s="208">
        <v>537</v>
      </c>
      <c r="G8" s="209">
        <v>2517</v>
      </c>
      <c r="H8" s="208">
        <v>388</v>
      </c>
      <c r="I8" s="209">
        <v>149</v>
      </c>
      <c r="J8" s="205"/>
      <c r="K8" s="214">
        <f t="shared" si="0"/>
        <v>0.17583497053045186</v>
      </c>
      <c r="L8" s="215">
        <f t="shared" si="1"/>
        <v>0.82416502946954817</v>
      </c>
    </row>
    <row r="9" spans="2:12">
      <c r="B9" s="144" t="s">
        <v>135</v>
      </c>
      <c r="C9" s="222">
        <v>1939</v>
      </c>
      <c r="D9" s="196">
        <f>C9/C35</f>
        <v>4.2319612379414201E-2</v>
      </c>
      <c r="E9" s="221">
        <v>950</v>
      </c>
      <c r="F9" s="206">
        <v>823</v>
      </c>
      <c r="G9" s="207">
        <v>127</v>
      </c>
      <c r="H9" s="206">
        <v>678</v>
      </c>
      <c r="I9" s="207">
        <v>145</v>
      </c>
      <c r="J9" s="197"/>
      <c r="K9" s="212">
        <f t="shared" si="0"/>
        <v>0.86631578947368426</v>
      </c>
      <c r="L9" s="213">
        <f t="shared" si="1"/>
        <v>0.13368421052631579</v>
      </c>
    </row>
    <row r="10" spans="2:12">
      <c r="B10" s="228" t="s">
        <v>136</v>
      </c>
      <c r="C10" s="223">
        <v>669</v>
      </c>
      <c r="D10" s="198">
        <f>C10/C35</f>
        <v>1.4601248417652452E-2</v>
      </c>
      <c r="E10" s="224">
        <v>486</v>
      </c>
      <c r="F10" s="208">
        <v>313</v>
      </c>
      <c r="G10" s="209">
        <v>173</v>
      </c>
      <c r="H10" s="208">
        <v>249</v>
      </c>
      <c r="I10" s="209">
        <v>64</v>
      </c>
      <c r="J10" s="205"/>
      <c r="K10" s="214">
        <f t="shared" si="0"/>
        <v>0.6440329218106996</v>
      </c>
      <c r="L10" s="215">
        <f t="shared" si="1"/>
        <v>0.3559670781893004</v>
      </c>
    </row>
    <row r="11" spans="2:12">
      <c r="B11" s="144" t="s">
        <v>137</v>
      </c>
      <c r="C11" s="222">
        <v>2093</v>
      </c>
      <c r="D11" s="196">
        <f>C11/C35</f>
        <v>4.5680736828320745E-2</v>
      </c>
      <c r="E11" s="221">
        <v>1038</v>
      </c>
      <c r="F11" s="206">
        <v>902</v>
      </c>
      <c r="G11" s="207">
        <v>136</v>
      </c>
      <c r="H11" s="206">
        <v>723</v>
      </c>
      <c r="I11" s="207">
        <v>179</v>
      </c>
      <c r="J11" s="197"/>
      <c r="K11" s="212">
        <f t="shared" si="0"/>
        <v>0.86897880539499039</v>
      </c>
      <c r="L11" s="213">
        <f t="shared" si="1"/>
        <v>0.13102119460500963</v>
      </c>
    </row>
    <row r="12" spans="2:12">
      <c r="B12" s="228" t="s">
        <v>138</v>
      </c>
      <c r="C12" s="223">
        <v>772</v>
      </c>
      <c r="D12" s="198">
        <f>C12/C35</f>
        <v>1.6849273211401634E-2</v>
      </c>
      <c r="E12" s="224">
        <v>542</v>
      </c>
      <c r="F12" s="208">
        <v>330</v>
      </c>
      <c r="G12" s="209">
        <v>212</v>
      </c>
      <c r="H12" s="208">
        <v>293</v>
      </c>
      <c r="I12" s="209">
        <v>37</v>
      </c>
      <c r="J12" s="205"/>
      <c r="K12" s="214">
        <f t="shared" si="0"/>
        <v>0.60885608856088558</v>
      </c>
      <c r="L12" s="213">
        <f t="shared" si="1"/>
        <v>0.39114391143911437</v>
      </c>
    </row>
    <row r="13" spans="2:12">
      <c r="B13" s="228" t="s">
        <v>139</v>
      </c>
      <c r="C13" s="223">
        <v>914</v>
      </c>
      <c r="D13" s="198">
        <f>C13/C35</f>
        <v>1.994849185909468E-2</v>
      </c>
      <c r="E13" s="224">
        <v>1055</v>
      </c>
      <c r="F13" s="208">
        <v>460</v>
      </c>
      <c r="G13" s="209">
        <v>595</v>
      </c>
      <c r="H13" s="208">
        <v>377</v>
      </c>
      <c r="I13" s="209">
        <v>83</v>
      </c>
      <c r="J13" s="205"/>
      <c r="K13" s="214">
        <f t="shared" si="0"/>
        <v>0.43601895734597157</v>
      </c>
      <c r="L13" s="215">
        <f t="shared" si="1"/>
        <v>0.56398104265402849</v>
      </c>
    </row>
    <row r="14" spans="2:12">
      <c r="B14" s="228" t="s">
        <v>140</v>
      </c>
      <c r="C14" s="223">
        <v>1580</v>
      </c>
      <c r="D14" s="198">
        <f>C14/C35</f>
        <v>3.4484263826443755E-2</v>
      </c>
      <c r="E14" s="224">
        <v>1476</v>
      </c>
      <c r="F14" s="208">
        <v>790</v>
      </c>
      <c r="G14" s="209">
        <v>686</v>
      </c>
      <c r="H14" s="208">
        <v>603</v>
      </c>
      <c r="I14" s="209">
        <v>187</v>
      </c>
      <c r="J14" s="205"/>
      <c r="K14" s="214">
        <f t="shared" si="0"/>
        <v>0.535230352303523</v>
      </c>
      <c r="L14" s="215">
        <f t="shared" si="1"/>
        <v>0.46476964769647694</v>
      </c>
    </row>
    <row r="15" spans="2:12">
      <c r="B15" s="228" t="s">
        <v>141</v>
      </c>
      <c r="C15" s="223">
        <v>1164</v>
      </c>
      <c r="D15" s="198">
        <f>C15/C35</f>
        <v>2.5404862717709198E-2</v>
      </c>
      <c r="E15" s="224">
        <v>526</v>
      </c>
      <c r="F15" s="208">
        <v>378</v>
      </c>
      <c r="G15" s="209">
        <v>148</v>
      </c>
      <c r="H15" s="208">
        <v>309</v>
      </c>
      <c r="I15" s="209">
        <v>69</v>
      </c>
      <c r="J15" s="205"/>
      <c r="K15" s="214">
        <f t="shared" si="0"/>
        <v>0.71863117870722437</v>
      </c>
      <c r="L15" s="213">
        <f t="shared" si="1"/>
        <v>0.28136882129277568</v>
      </c>
    </row>
    <row r="16" spans="2:12">
      <c r="B16" s="228" t="s">
        <v>142</v>
      </c>
      <c r="C16" s="223">
        <v>1808</v>
      </c>
      <c r="D16" s="198">
        <f>C16/C35</f>
        <v>3.9460474049500198E-2</v>
      </c>
      <c r="E16" s="224">
        <v>1090</v>
      </c>
      <c r="F16" s="208">
        <v>771</v>
      </c>
      <c r="G16" s="209">
        <v>319</v>
      </c>
      <c r="H16" s="208">
        <v>649</v>
      </c>
      <c r="I16" s="209">
        <v>122</v>
      </c>
      <c r="J16" s="205"/>
      <c r="K16" s="214">
        <f t="shared" si="0"/>
        <v>0.70733944954128436</v>
      </c>
      <c r="L16" s="213">
        <f t="shared" si="1"/>
        <v>0.29266055045871558</v>
      </c>
    </row>
    <row r="17" spans="2:12">
      <c r="B17" s="228" t="s">
        <v>143</v>
      </c>
      <c r="C17" s="223">
        <v>2687</v>
      </c>
      <c r="D17" s="198">
        <f>C17/C35</f>
        <v>5.8645073988388842E-2</v>
      </c>
      <c r="E17" s="224">
        <v>1146</v>
      </c>
      <c r="F17" s="208">
        <v>1001</v>
      </c>
      <c r="G17" s="209">
        <v>145</v>
      </c>
      <c r="H17" s="208">
        <v>38</v>
      </c>
      <c r="I17" s="209">
        <v>363</v>
      </c>
      <c r="J17" s="205"/>
      <c r="K17" s="214">
        <f t="shared" si="0"/>
        <v>0.87347294938917974</v>
      </c>
      <c r="L17" s="213">
        <f t="shared" si="1"/>
        <v>0.12652705061082026</v>
      </c>
    </row>
    <row r="18" spans="2:12" ht="15.75">
      <c r="B18" s="229" t="s">
        <v>144</v>
      </c>
      <c r="C18" s="223">
        <v>763</v>
      </c>
      <c r="D18" s="198">
        <f>C18/C35</f>
        <v>1.6652843860491508E-2</v>
      </c>
      <c r="E18" s="224">
        <v>496</v>
      </c>
      <c r="F18" s="208">
        <v>336</v>
      </c>
      <c r="G18" s="209">
        <v>160</v>
      </c>
      <c r="H18" s="208">
        <v>274</v>
      </c>
      <c r="I18" s="209">
        <v>62</v>
      </c>
      <c r="J18" s="205"/>
      <c r="K18" s="214">
        <f t="shared" si="0"/>
        <v>0.67741935483870963</v>
      </c>
      <c r="L18" s="215">
        <f t="shared" si="1"/>
        <v>0.32258064516129031</v>
      </c>
    </row>
    <row r="19" spans="2:12">
      <c r="B19" s="228" t="s">
        <v>145</v>
      </c>
      <c r="C19" s="223">
        <v>5165</v>
      </c>
      <c r="D19" s="198">
        <f>C19/C35</f>
        <v>0.11272862193897595</v>
      </c>
      <c r="E19" s="224">
        <v>2551</v>
      </c>
      <c r="F19" s="208">
        <v>2197</v>
      </c>
      <c r="G19" s="209">
        <v>354</v>
      </c>
      <c r="H19" s="208">
        <v>1274</v>
      </c>
      <c r="I19" s="209">
        <v>923</v>
      </c>
      <c r="J19" s="205"/>
      <c r="K19" s="214">
        <f t="shared" si="0"/>
        <v>0.86123088984711882</v>
      </c>
      <c r="L19" s="213">
        <f t="shared" si="1"/>
        <v>0.13876911015288124</v>
      </c>
    </row>
    <row r="20" spans="2:12" ht="15.75">
      <c r="B20" s="229" t="s">
        <v>146</v>
      </c>
      <c r="C20" s="223">
        <v>89</v>
      </c>
      <c r="D20" s="198">
        <f>C20/C35</f>
        <v>1.9424680256667686E-3</v>
      </c>
      <c r="E20" s="224">
        <v>93</v>
      </c>
      <c r="F20" s="208">
        <v>44</v>
      </c>
      <c r="G20" s="209">
        <v>49</v>
      </c>
      <c r="H20" s="208">
        <v>37</v>
      </c>
      <c r="I20" s="209">
        <v>7</v>
      </c>
      <c r="J20" s="205"/>
      <c r="K20" s="214">
        <f t="shared" si="0"/>
        <v>0.4731182795698925</v>
      </c>
      <c r="L20" s="213">
        <f t="shared" si="1"/>
        <v>0.5268817204301075</v>
      </c>
    </row>
    <row r="21" spans="2:12">
      <c r="B21" s="228" t="s">
        <v>147</v>
      </c>
      <c r="C21" s="223">
        <v>8</v>
      </c>
      <c r="D21" s="198">
        <f>C21/C35</f>
        <v>1.7460386747566458E-4</v>
      </c>
      <c r="E21" s="224">
        <v>21</v>
      </c>
      <c r="F21" s="208">
        <v>3</v>
      </c>
      <c r="G21" s="209">
        <v>18</v>
      </c>
      <c r="H21" s="208">
        <v>3</v>
      </c>
      <c r="I21" s="209">
        <v>0</v>
      </c>
      <c r="J21" s="205"/>
      <c r="K21" s="214">
        <f t="shared" si="0"/>
        <v>0.14285714285714285</v>
      </c>
      <c r="L21" s="213">
        <f t="shared" si="1"/>
        <v>0.8571428571428571</v>
      </c>
    </row>
    <row r="22" spans="2:12">
      <c r="B22" s="228" t="s">
        <v>148</v>
      </c>
      <c r="C22" s="223">
        <v>224</v>
      </c>
      <c r="D22" s="198">
        <f>C22/C35</f>
        <v>4.8889082893186081E-3</v>
      </c>
      <c r="E22" s="224">
        <v>1447</v>
      </c>
      <c r="F22" s="208">
        <v>98</v>
      </c>
      <c r="G22" s="209">
        <v>1349</v>
      </c>
      <c r="H22" s="208">
        <v>77</v>
      </c>
      <c r="I22" s="209">
        <v>21</v>
      </c>
      <c r="J22" s="205"/>
      <c r="K22" s="214">
        <f t="shared" si="0"/>
        <v>6.7726330338631652E-2</v>
      </c>
      <c r="L22" s="215">
        <f t="shared" si="1"/>
        <v>0.93227366966136838</v>
      </c>
    </row>
    <row r="23" spans="2:12">
      <c r="B23" s="228" t="s">
        <v>149</v>
      </c>
      <c r="C23" s="223">
        <v>1022</v>
      </c>
      <c r="D23" s="198">
        <f>C23/C35</f>
        <v>2.2305644070016152E-2</v>
      </c>
      <c r="E23" s="224">
        <v>784</v>
      </c>
      <c r="F23" s="208">
        <v>574</v>
      </c>
      <c r="G23" s="209">
        <v>210</v>
      </c>
      <c r="H23" s="208">
        <v>421</v>
      </c>
      <c r="I23" s="209">
        <v>153</v>
      </c>
      <c r="J23" s="205"/>
      <c r="K23" s="214">
        <f t="shared" si="0"/>
        <v>0.7321428571428571</v>
      </c>
      <c r="L23" s="215">
        <f t="shared" si="1"/>
        <v>0.26785714285714285</v>
      </c>
    </row>
    <row r="24" spans="2:12">
      <c r="B24" s="228" t="s">
        <v>150</v>
      </c>
      <c r="C24" s="223">
        <v>2055</v>
      </c>
      <c r="D24" s="198">
        <f>C24/C35</f>
        <v>4.485136845781134E-2</v>
      </c>
      <c r="E24" s="224">
        <v>924</v>
      </c>
      <c r="F24" s="208">
        <v>865</v>
      </c>
      <c r="G24" s="209">
        <v>59</v>
      </c>
      <c r="H24" s="208">
        <v>666</v>
      </c>
      <c r="I24" s="209">
        <v>199</v>
      </c>
      <c r="J24" s="205"/>
      <c r="K24" s="214">
        <f t="shared" si="0"/>
        <v>0.93614718614718617</v>
      </c>
      <c r="L24" s="215">
        <f t="shared" si="1"/>
        <v>6.3852813852813856E-2</v>
      </c>
    </row>
    <row r="25" spans="2:12">
      <c r="B25" s="228" t="s">
        <v>151</v>
      </c>
      <c r="C25" s="223">
        <v>704</v>
      </c>
      <c r="D25" s="198">
        <f>C25/C35</f>
        <v>1.5365140337858484E-2</v>
      </c>
      <c r="E25" s="224">
        <v>849</v>
      </c>
      <c r="F25" s="208">
        <v>374</v>
      </c>
      <c r="G25" s="209">
        <v>475</v>
      </c>
      <c r="H25" s="208">
        <v>320</v>
      </c>
      <c r="I25" s="209">
        <v>54</v>
      </c>
      <c r="J25" s="205"/>
      <c r="K25" s="214">
        <f t="shared" si="0"/>
        <v>0.44051825677267376</v>
      </c>
      <c r="L25" s="215">
        <f t="shared" si="1"/>
        <v>0.55948174322732624</v>
      </c>
    </row>
    <row r="26" spans="2:12">
      <c r="B26" s="228" t="s">
        <v>152</v>
      </c>
      <c r="C26" s="223">
        <v>3127</v>
      </c>
      <c r="D26" s="198">
        <f>C26/C35</f>
        <v>6.8248286699550395E-2</v>
      </c>
      <c r="E26" s="224">
        <v>1466</v>
      </c>
      <c r="F26" s="208">
        <v>1298</v>
      </c>
      <c r="G26" s="209">
        <v>168</v>
      </c>
      <c r="H26" s="208">
        <v>1068</v>
      </c>
      <c r="I26" s="209">
        <v>230</v>
      </c>
      <c r="J26" s="205"/>
      <c r="K26" s="214">
        <f t="shared" si="0"/>
        <v>0.88540245566166442</v>
      </c>
      <c r="L26" s="213">
        <f t="shared" si="1"/>
        <v>0.11459754433833561</v>
      </c>
    </row>
    <row r="27" spans="2:12" ht="15.75">
      <c r="B27" s="229" t="s">
        <v>153</v>
      </c>
      <c r="C27" s="223">
        <v>571</v>
      </c>
      <c r="D27" s="198">
        <f>C27/C35</f>
        <v>1.246235104107556E-2</v>
      </c>
      <c r="E27" s="224">
        <v>565</v>
      </c>
      <c r="F27" s="208">
        <v>262</v>
      </c>
      <c r="G27" s="209">
        <v>303</v>
      </c>
      <c r="H27" s="208">
        <v>213</v>
      </c>
      <c r="I27" s="209">
        <v>49</v>
      </c>
      <c r="J27" s="205"/>
      <c r="K27" s="214">
        <f t="shared" si="0"/>
        <v>0.46371681415929206</v>
      </c>
      <c r="L27" s="215">
        <f t="shared" si="1"/>
        <v>0.536283185840708</v>
      </c>
    </row>
    <row r="28" spans="2:12">
      <c r="B28" s="228" t="s">
        <v>154</v>
      </c>
      <c r="C28" s="223">
        <v>1299</v>
      </c>
      <c r="D28" s="198">
        <f>C28/C35</f>
        <v>2.8351302981361036E-2</v>
      </c>
      <c r="E28" s="224">
        <v>918</v>
      </c>
      <c r="F28" s="208">
        <v>574</v>
      </c>
      <c r="G28" s="209">
        <v>344</v>
      </c>
      <c r="H28" s="208">
        <v>482</v>
      </c>
      <c r="I28" s="209">
        <v>92</v>
      </c>
      <c r="J28" s="205"/>
      <c r="K28" s="214">
        <f t="shared" si="0"/>
        <v>0.62527233115468406</v>
      </c>
      <c r="L28" s="213">
        <f t="shared" si="1"/>
        <v>0.37472766884531589</v>
      </c>
    </row>
    <row r="29" spans="2:12">
      <c r="B29" s="228" t="s">
        <v>155</v>
      </c>
      <c r="C29" s="223">
        <v>2067</v>
      </c>
      <c r="D29" s="198">
        <f>C29/C35</f>
        <v>4.5113274259024838E-2</v>
      </c>
      <c r="E29" s="224">
        <v>2493</v>
      </c>
      <c r="F29" s="208">
        <v>866</v>
      </c>
      <c r="G29" s="209">
        <v>1627</v>
      </c>
      <c r="H29" s="208">
        <v>566</v>
      </c>
      <c r="I29" s="209">
        <v>300</v>
      </c>
      <c r="J29" s="205"/>
      <c r="K29" s="214">
        <f t="shared" si="0"/>
        <v>0.34737264340152429</v>
      </c>
      <c r="L29" s="215">
        <f t="shared" si="1"/>
        <v>0.65262735659847571</v>
      </c>
    </row>
    <row r="30" spans="2:12">
      <c r="B30" s="556" t="s">
        <v>156</v>
      </c>
      <c r="C30" s="557">
        <v>359</v>
      </c>
      <c r="D30" s="352">
        <f>C30/C35</f>
        <v>7.8353485529704479E-3</v>
      </c>
      <c r="E30" s="353">
        <v>396</v>
      </c>
      <c r="F30" s="354">
        <v>187</v>
      </c>
      <c r="G30" s="355">
        <v>209</v>
      </c>
      <c r="H30" s="354">
        <v>167</v>
      </c>
      <c r="I30" s="355">
        <v>20</v>
      </c>
      <c r="J30" s="356"/>
      <c r="K30" s="357">
        <f t="shared" si="0"/>
        <v>0.47222222222222221</v>
      </c>
      <c r="L30" s="358">
        <f t="shared" si="1"/>
        <v>0.52777777777777779</v>
      </c>
    </row>
    <row r="31" spans="2:12" ht="16.5" thickBot="1">
      <c r="B31" s="230" t="s">
        <v>157</v>
      </c>
      <c r="C31" s="225">
        <v>537</v>
      </c>
      <c r="D31" s="226">
        <f>C31/C35</f>
        <v>1.1720284604303985E-2</v>
      </c>
      <c r="E31" s="227">
        <v>1749</v>
      </c>
      <c r="F31" s="210">
        <v>343</v>
      </c>
      <c r="G31" s="211">
        <v>1406</v>
      </c>
      <c r="H31" s="210">
        <v>267</v>
      </c>
      <c r="I31" s="211">
        <v>76</v>
      </c>
      <c r="J31" s="237"/>
      <c r="K31" s="216">
        <f t="shared" si="0"/>
        <v>0.19611206403659234</v>
      </c>
      <c r="L31" s="217">
        <f t="shared" si="1"/>
        <v>0.80388793596340768</v>
      </c>
    </row>
    <row r="33" spans="2:4" ht="12" customHeight="1">
      <c r="B33" s="188" t="s">
        <v>169</v>
      </c>
      <c r="C33" s="189">
        <f>C35-C34</f>
        <v>43858</v>
      </c>
      <c r="D33" s="67"/>
    </row>
    <row r="34" spans="2:4" ht="12" customHeight="1">
      <c r="B34" s="190" t="s">
        <v>170</v>
      </c>
      <c r="C34" s="191">
        <f>SUM(C31,C27,C20,C18)</f>
        <v>1960</v>
      </c>
    </row>
    <row r="35" spans="2:4" ht="12" customHeight="1">
      <c r="B35" s="190" t="s">
        <v>158</v>
      </c>
      <c r="C35" s="191">
        <f>SUM(C5:C31)</f>
        <v>45818</v>
      </c>
    </row>
    <row r="36" spans="2:4" ht="12" customHeight="1">
      <c r="B36" s="192" t="s">
        <v>197</v>
      </c>
      <c r="C36" s="193">
        <f>C35/C33</f>
        <v>1.0446896803319805</v>
      </c>
    </row>
    <row r="37" spans="2:4" ht="12" customHeight="1">
      <c r="B37" s="194"/>
      <c r="C37" s="195"/>
    </row>
    <row r="38" spans="2:4" ht="12" customHeight="1">
      <c r="B38" s="188" t="s">
        <v>194</v>
      </c>
      <c r="C38" s="189">
        <f>C40-C39</f>
        <v>29735</v>
      </c>
    </row>
    <row r="39" spans="2:4" ht="12" customHeight="1">
      <c r="B39" s="190" t="s">
        <v>195</v>
      </c>
      <c r="C39" s="191">
        <f>SUM(E18,E20,E27,E31)</f>
        <v>2903</v>
      </c>
    </row>
    <row r="40" spans="2:4" ht="12" customHeight="1">
      <c r="B40" s="190" t="s">
        <v>196</v>
      </c>
      <c r="C40" s="191">
        <f>SUM(E5:E31)</f>
        <v>32638</v>
      </c>
    </row>
    <row r="41" spans="2:4" ht="12" customHeight="1">
      <c r="B41" s="192" t="s">
        <v>197</v>
      </c>
      <c r="C41" s="193">
        <f>C40/C38</f>
        <v>1.0976290566672271</v>
      </c>
    </row>
    <row r="42" spans="2:4">
      <c r="B42" s="194"/>
      <c r="C42" s="194"/>
    </row>
  </sheetData>
  <mergeCells count="1">
    <mergeCell ref="B2:L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Formatting</vt:lpstr>
      <vt:lpstr>INSTRUCTIONS</vt:lpstr>
      <vt:lpstr>DATA SUMMARY</vt:lpstr>
      <vt:lpstr>1.Current Trans</vt:lpstr>
      <vt:lpstr>2.Current Heat</vt:lpstr>
      <vt:lpstr>3. Current Home Heating Detail</vt:lpstr>
      <vt:lpstr>4. Current Electricity</vt:lpstr>
      <vt:lpstr>(A) Workspace- # of Cars</vt:lpstr>
      <vt:lpstr>(B) Data-Regional Housing Units</vt:lpstr>
      <vt:lpstr>(C) Data- Commercial Buildings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JEFF NUGENT</cp:lastModifiedBy>
  <dcterms:created xsi:type="dcterms:W3CDTF">2016-10-03T13:03:02Z</dcterms:created>
  <dcterms:modified xsi:type="dcterms:W3CDTF">2017-04-26T21:14:44Z</dcterms:modified>
</cp:coreProperties>
</file>