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890" yWindow="0" windowWidth="24000" windowHeight="9735" tabRatio="919" activeTab="1"/>
  </bookViews>
  <sheets>
    <sheet name="INSTRUCTIONS" sheetId="49" r:id="rId1"/>
    <sheet name="DATA SUMMARY" sheetId="50" r:id="rId2"/>
    <sheet name="1. Workspace- Efficiency" sheetId="51" r:id="rId3"/>
    <sheet name="2. Workspace- Fuel Targets" sheetId="52" r:id="rId4"/>
    <sheet name="3. Workspace- Renewables" sheetId="53" r:id="rId5"/>
    <sheet name="A. Data- LEAP Windham" sheetId="46" r:id="rId6"/>
    <sheet name="B.Data- Town Info" sheetId="47" r:id="rId7"/>
    <sheet name="C. Data- Charts for Plans" sheetId="48" r:id="rId8"/>
    <sheet name="D. Data- LEAP Statewide" sheetId="35" r:id="rId9"/>
  </sheets>
  <calcPr calcId="125725"/>
</workbook>
</file>

<file path=xl/calcChain.xml><?xml version="1.0" encoding="utf-8"?>
<calcChain xmlns="http://schemas.openxmlformats.org/spreadsheetml/2006/main">
  <c r="C31" i="52"/>
  <c r="D31"/>
  <c r="E31"/>
  <c r="B31"/>
  <c r="C17"/>
  <c r="D17"/>
  <c r="E17"/>
  <c r="B17"/>
  <c r="E62"/>
  <c r="D62"/>
  <c r="C62"/>
  <c r="B62"/>
  <c r="E53"/>
  <c r="D53"/>
  <c r="C53"/>
  <c r="B53"/>
  <c r="E44"/>
  <c r="D44"/>
  <c r="C44"/>
  <c r="B44"/>
  <c r="E40"/>
  <c r="D40"/>
  <c r="C40"/>
  <c r="B40"/>
  <c r="E27"/>
  <c r="D27"/>
  <c r="C27"/>
  <c r="B27"/>
  <c r="E23"/>
  <c r="D23"/>
  <c r="C23"/>
  <c r="B23"/>
  <c r="E13"/>
  <c r="D13"/>
  <c r="C13"/>
  <c r="B13"/>
  <c r="C9"/>
  <c r="D9"/>
  <c r="E9"/>
  <c r="B9"/>
  <c r="C14" i="51"/>
  <c r="D14"/>
  <c r="E14"/>
  <c r="B14"/>
  <c r="C9"/>
  <c r="D9"/>
  <c r="E9"/>
  <c r="B9"/>
  <c r="C11"/>
  <c r="D11"/>
  <c r="E11"/>
  <c r="B11"/>
  <c r="C6"/>
  <c r="D6"/>
  <c r="E6"/>
  <c r="B6"/>
  <c r="C14" i="53" l="1"/>
  <c r="D14"/>
  <c r="E14"/>
  <c r="B14"/>
  <c r="C13"/>
  <c r="D13"/>
  <c r="D15" s="1"/>
  <c r="M24" i="50" s="1"/>
  <c r="E13" i="53"/>
  <c r="E15" s="1"/>
  <c r="N24" i="50" s="1"/>
  <c r="B13" i="53"/>
  <c r="C7"/>
  <c r="D7"/>
  <c r="E7"/>
  <c r="B7"/>
  <c r="C6"/>
  <c r="D6"/>
  <c r="D8" s="1"/>
  <c r="M23" i="50" s="1"/>
  <c r="E6" i="53"/>
  <c r="E8" s="1"/>
  <c r="N23" i="50" s="1"/>
  <c r="B6" i="53"/>
  <c r="B8" s="1"/>
  <c r="C57" i="52"/>
  <c r="D57"/>
  <c r="D58" s="1"/>
  <c r="D60" s="1"/>
  <c r="D61" s="1"/>
  <c r="E57"/>
  <c r="E58" s="1"/>
  <c r="E60" s="1"/>
  <c r="E61" s="1"/>
  <c r="B57"/>
  <c r="C48"/>
  <c r="C49" s="1"/>
  <c r="C51" s="1"/>
  <c r="C52" s="1"/>
  <c r="D48"/>
  <c r="D49" s="1"/>
  <c r="D51" s="1"/>
  <c r="D52" s="1"/>
  <c r="E48"/>
  <c r="E49" s="1"/>
  <c r="E51" s="1"/>
  <c r="E52" s="1"/>
  <c r="B48"/>
  <c r="B49" s="1"/>
  <c r="B51" s="1"/>
  <c r="B52" s="1"/>
  <c r="C41"/>
  <c r="C42" s="1"/>
  <c r="C43" s="1"/>
  <c r="D41"/>
  <c r="D42" s="1"/>
  <c r="D43" s="1"/>
  <c r="E41"/>
  <c r="E42" s="1"/>
  <c r="E43" s="1"/>
  <c r="B41"/>
  <c r="B42" s="1"/>
  <c r="B43" s="1"/>
  <c r="C37"/>
  <c r="C38" s="1"/>
  <c r="C39" s="1"/>
  <c r="D37"/>
  <c r="D38" s="1"/>
  <c r="D39" s="1"/>
  <c r="E37"/>
  <c r="B37"/>
  <c r="B38" s="1"/>
  <c r="B39" s="1"/>
  <c r="C28"/>
  <c r="C29" s="1"/>
  <c r="C30" s="1"/>
  <c r="D28"/>
  <c r="D29" s="1"/>
  <c r="D30" s="1"/>
  <c r="E28"/>
  <c r="E29" s="1"/>
  <c r="E30" s="1"/>
  <c r="B28"/>
  <c r="B29" s="1"/>
  <c r="B30" s="1"/>
  <c r="C24"/>
  <c r="C25" s="1"/>
  <c r="C26" s="1"/>
  <c r="D24"/>
  <c r="D25" s="1"/>
  <c r="D26" s="1"/>
  <c r="E24"/>
  <c r="E25" s="1"/>
  <c r="E26" s="1"/>
  <c r="B24"/>
  <c r="B25" s="1"/>
  <c r="B26" s="1"/>
  <c r="C20"/>
  <c r="C21" s="1"/>
  <c r="C22" s="1"/>
  <c r="D20"/>
  <c r="D21" s="1"/>
  <c r="D22" s="1"/>
  <c r="E20"/>
  <c r="E21" s="1"/>
  <c r="E22" s="1"/>
  <c r="B20"/>
  <c r="B21" s="1"/>
  <c r="B22" s="1"/>
  <c r="I70" i="47"/>
  <c r="I45"/>
  <c r="I46"/>
  <c r="I47"/>
  <c r="I48"/>
  <c r="I49"/>
  <c r="I50"/>
  <c r="I51"/>
  <c r="I52"/>
  <c r="I53"/>
  <c r="I54"/>
  <c r="I55"/>
  <c r="I56"/>
  <c r="I57"/>
  <c r="I58"/>
  <c r="I59"/>
  <c r="I60"/>
  <c r="I61"/>
  <c r="I62"/>
  <c r="I63"/>
  <c r="I64"/>
  <c r="I65"/>
  <c r="I66"/>
  <c r="I67"/>
  <c r="I68"/>
  <c r="I69"/>
  <c r="I44"/>
  <c r="C14" i="52"/>
  <c r="C15" s="1"/>
  <c r="C16" s="1"/>
  <c r="D14"/>
  <c r="D15" s="1"/>
  <c r="D16" s="1"/>
  <c r="E14"/>
  <c r="E15" s="1"/>
  <c r="E16" s="1"/>
  <c r="B14"/>
  <c r="B15" s="1"/>
  <c r="B16" s="1"/>
  <c r="C10"/>
  <c r="C11" s="1"/>
  <c r="C12" s="1"/>
  <c r="D10"/>
  <c r="D11" s="1"/>
  <c r="D12" s="1"/>
  <c r="E10"/>
  <c r="E11" s="1"/>
  <c r="E12" s="1"/>
  <c r="B10"/>
  <c r="B11" s="1"/>
  <c r="B12" s="1"/>
  <c r="C6"/>
  <c r="D6"/>
  <c r="D7" s="1"/>
  <c r="D8" s="1"/>
  <c r="E6"/>
  <c r="E7" s="1"/>
  <c r="E8" s="1"/>
  <c r="B6"/>
  <c r="B7" s="1"/>
  <c r="B8" s="1"/>
  <c r="C7"/>
  <c r="C8" s="1"/>
  <c r="C45" i="51"/>
  <c r="D45"/>
  <c r="E45"/>
  <c r="B45"/>
  <c r="C44"/>
  <c r="C46" s="1"/>
  <c r="D44"/>
  <c r="D46" s="1"/>
  <c r="E44"/>
  <c r="E46" s="1"/>
  <c r="B44"/>
  <c r="B46" s="1"/>
  <c r="N19" i="50" l="1"/>
  <c r="M19"/>
  <c r="N18"/>
  <c r="L18"/>
  <c r="M18"/>
  <c r="N16"/>
  <c r="B58" i="52"/>
  <c r="B60" s="1"/>
  <c r="B61" s="1"/>
  <c r="C8" i="53"/>
  <c r="L23" i="50" s="1"/>
  <c r="C58" i="52"/>
  <c r="C60" s="1"/>
  <c r="C61" s="1"/>
  <c r="B15" i="53"/>
  <c r="M16" i="50"/>
  <c r="N17"/>
  <c r="C15" i="53"/>
  <c r="L24" i="50" s="1"/>
  <c r="L17"/>
  <c r="M17"/>
  <c r="L16"/>
  <c r="C32" i="52"/>
  <c r="L15" i="50" s="1"/>
  <c r="D32" i="52"/>
  <c r="B18"/>
  <c r="E38"/>
  <c r="D18"/>
  <c r="B32"/>
  <c r="C18"/>
  <c r="E18"/>
  <c r="B47" i="51"/>
  <c r="B49" s="1"/>
  <c r="B50"/>
  <c r="C50"/>
  <c r="L11" i="50" s="1"/>
  <c r="C47" i="51"/>
  <c r="C49" s="1"/>
  <c r="L10" i="50" s="1"/>
  <c r="D50" i="51"/>
  <c r="M11" i="50" s="1"/>
  <c r="D47" i="51"/>
  <c r="D49" s="1"/>
  <c r="M10" i="50" s="1"/>
  <c r="E47" i="51"/>
  <c r="E49" s="1"/>
  <c r="N10" i="50" s="1"/>
  <c r="E50" i="51"/>
  <c r="N11" i="50" s="1"/>
  <c r="L19" l="1"/>
  <c r="C33" i="52"/>
  <c r="E32"/>
  <c r="N15" i="50" s="1"/>
  <c r="E39" i="52"/>
  <c r="B33"/>
  <c r="M15" i="50"/>
  <c r="D33" i="52"/>
  <c r="E33" l="1"/>
  <c r="C31" i="51" l="1"/>
  <c r="D31"/>
  <c r="E31"/>
  <c r="E32" s="1"/>
  <c r="E33" s="1"/>
  <c r="B31"/>
  <c r="C29"/>
  <c r="C30" s="1"/>
  <c r="D29"/>
  <c r="D30" s="1"/>
  <c r="E29"/>
  <c r="E30" s="1"/>
  <c r="B29"/>
  <c r="B30" s="1"/>
  <c r="C26"/>
  <c r="D26"/>
  <c r="E26"/>
  <c r="E27" s="1"/>
  <c r="E28" s="1"/>
  <c r="B26"/>
  <c r="B27" s="1"/>
  <c r="C24"/>
  <c r="C25" s="1"/>
  <c r="D24"/>
  <c r="D25" s="1"/>
  <c r="E24"/>
  <c r="E25" s="1"/>
  <c r="B24"/>
  <c r="B25" s="1"/>
  <c r="C27" l="1"/>
  <c r="B32"/>
  <c r="B28"/>
  <c r="E34"/>
  <c r="E36" s="1"/>
  <c r="E38" s="1"/>
  <c r="C13"/>
  <c r="D13"/>
  <c r="E13"/>
  <c r="B13"/>
  <c r="C8"/>
  <c r="D8"/>
  <c r="E8"/>
  <c r="B8"/>
  <c r="D10" l="1"/>
  <c r="D15"/>
  <c r="E10"/>
  <c r="E15"/>
  <c r="B10"/>
  <c r="B15"/>
  <c r="C10"/>
  <c r="C15"/>
  <c r="N8" i="50"/>
  <c r="E40" i="51"/>
  <c r="N9" i="50" s="1"/>
  <c r="D27" i="51"/>
  <c r="C28"/>
  <c r="B33"/>
  <c r="B34" s="1"/>
  <c r="B36" s="1"/>
  <c r="B38" s="1"/>
  <c r="B40" s="1"/>
  <c r="C32"/>
  <c r="D32" l="1"/>
  <c r="D33" s="1"/>
  <c r="C33"/>
  <c r="C34" s="1"/>
  <c r="C36" s="1"/>
  <c r="C38" s="1"/>
  <c r="D28"/>
  <c r="D34" l="1"/>
  <c r="D36" s="1"/>
  <c r="D38" s="1"/>
  <c r="D40" s="1"/>
  <c r="M9" i="50" s="1"/>
  <c r="L8"/>
  <c r="C40" i="51"/>
  <c r="L9" i="50" s="1"/>
  <c r="M8" l="1"/>
  <c r="D42" i="47"/>
  <c r="AM31" i="48"/>
  <c r="AM32" s="1"/>
  <c r="AL31"/>
  <c r="AL32" s="1"/>
  <c r="AK31"/>
  <c r="AK32" s="1"/>
  <c r="AE31"/>
  <c r="AE32" s="1"/>
  <c r="AD31"/>
  <c r="AD32" s="1"/>
  <c r="W31"/>
  <c r="W32" s="1"/>
  <c r="V31"/>
  <c r="V32" s="1"/>
  <c r="AJ31"/>
  <c r="AJ32" s="1"/>
  <c r="AC31"/>
  <c r="AC32" s="1"/>
  <c r="AB31"/>
  <c r="AB32" s="1"/>
  <c r="U31"/>
  <c r="U32" s="1"/>
  <c r="T31"/>
  <c r="M31"/>
  <c r="M32" s="1"/>
  <c r="L31"/>
  <c r="L32" s="1"/>
  <c r="O31"/>
  <c r="O32" s="1"/>
  <c r="N31"/>
  <c r="N32" s="1"/>
  <c r="G31"/>
  <c r="G32" s="1"/>
  <c r="F31"/>
  <c r="F32" s="1"/>
  <c r="E31"/>
  <c r="E32" s="1"/>
  <c r="D31"/>
  <c r="D32" s="1"/>
  <c r="AO11" i="47"/>
  <c r="AP11"/>
  <c r="AQ11"/>
  <c r="AR11"/>
  <c r="AO12"/>
  <c r="AP12"/>
  <c r="AQ12"/>
  <c r="AR12"/>
  <c r="AO13"/>
  <c r="AP13"/>
  <c r="AQ13"/>
  <c r="AR13"/>
  <c r="AO14"/>
  <c r="AP14"/>
  <c r="AQ14"/>
  <c r="AR14"/>
  <c r="AO15"/>
  <c r="AP15"/>
  <c r="AQ15"/>
  <c r="AR15"/>
  <c r="AO16"/>
  <c r="AP16"/>
  <c r="AQ16"/>
  <c r="AR16"/>
  <c r="AO17"/>
  <c r="AP17"/>
  <c r="AQ17"/>
  <c r="AR17"/>
  <c r="AO18"/>
  <c r="AP18"/>
  <c r="AQ18"/>
  <c r="AR18"/>
  <c r="AO19"/>
  <c r="AP19"/>
  <c r="AQ19"/>
  <c r="AR19"/>
  <c r="AO20"/>
  <c r="AP20"/>
  <c r="AQ20"/>
  <c r="AR20"/>
  <c r="AO21"/>
  <c r="AP21"/>
  <c r="AQ21"/>
  <c r="AR21"/>
  <c r="AO22"/>
  <c r="AP22"/>
  <c r="AQ22"/>
  <c r="AR22"/>
  <c r="AO23"/>
  <c r="AP23"/>
  <c r="AQ23"/>
  <c r="AR23"/>
  <c r="AO24"/>
  <c r="AP24"/>
  <c r="AQ24"/>
  <c r="AR24"/>
  <c r="AO25"/>
  <c r="AP25"/>
  <c r="AQ25"/>
  <c r="AR25"/>
  <c r="AO26"/>
  <c r="AP26"/>
  <c r="AQ26"/>
  <c r="AR26"/>
  <c r="AO27"/>
  <c r="AP27"/>
  <c r="AQ27"/>
  <c r="AR27"/>
  <c r="AO28"/>
  <c r="AP28"/>
  <c r="AQ28"/>
  <c r="AR28"/>
  <c r="AO29"/>
  <c r="AP29"/>
  <c r="AQ29"/>
  <c r="AR29"/>
  <c r="AO30"/>
  <c r="AP30"/>
  <c r="AQ30"/>
  <c r="AR30"/>
  <c r="AO31"/>
  <c r="AP31"/>
  <c r="AQ31"/>
  <c r="AR31"/>
  <c r="AO32"/>
  <c r="AP32"/>
  <c r="AQ32"/>
  <c r="AR32"/>
  <c r="AO33"/>
  <c r="AP33"/>
  <c r="AQ33"/>
  <c r="AR33"/>
  <c r="AO34"/>
  <c r="AP34"/>
  <c r="AQ34"/>
  <c r="AR34"/>
  <c r="AO35"/>
  <c r="AP35"/>
  <c r="AQ35"/>
  <c r="AR35"/>
  <c r="AO36"/>
  <c r="AP36"/>
  <c r="AQ36"/>
  <c r="AR36"/>
  <c r="AR10"/>
  <c r="AQ10"/>
  <c r="AP10"/>
  <c r="AO10"/>
  <c r="AK11"/>
  <c r="AL11"/>
  <c r="AM11"/>
  <c r="AN11"/>
  <c r="AK12"/>
  <c r="AL12"/>
  <c r="AM12"/>
  <c r="AN12"/>
  <c r="AK13"/>
  <c r="AL13"/>
  <c r="AM13"/>
  <c r="AN13"/>
  <c r="AK14"/>
  <c r="AL14"/>
  <c r="AM14"/>
  <c r="AN14"/>
  <c r="AK15"/>
  <c r="AL15"/>
  <c r="AM15"/>
  <c r="AN15"/>
  <c r="AK16"/>
  <c r="AL16"/>
  <c r="AM16"/>
  <c r="AN16"/>
  <c r="AK17"/>
  <c r="AL17"/>
  <c r="AM17"/>
  <c r="AN17"/>
  <c r="AK18"/>
  <c r="AL18"/>
  <c r="AM18"/>
  <c r="AN18"/>
  <c r="AK19"/>
  <c r="AL19"/>
  <c r="AM19"/>
  <c r="AN19"/>
  <c r="AK20"/>
  <c r="AL20"/>
  <c r="AM20"/>
  <c r="AN20"/>
  <c r="AK21"/>
  <c r="AL21"/>
  <c r="AM21"/>
  <c r="AN21"/>
  <c r="AK22"/>
  <c r="AL22"/>
  <c r="AM22"/>
  <c r="AN22"/>
  <c r="AK23"/>
  <c r="AL23"/>
  <c r="AM23"/>
  <c r="AN23"/>
  <c r="AK24"/>
  <c r="AL24"/>
  <c r="AM24"/>
  <c r="AN24"/>
  <c r="AK25"/>
  <c r="AL25"/>
  <c r="AM25"/>
  <c r="AN25"/>
  <c r="AK26"/>
  <c r="AL26"/>
  <c r="AM26"/>
  <c r="AN26"/>
  <c r="AK27"/>
  <c r="AL27"/>
  <c r="AM27"/>
  <c r="AN27"/>
  <c r="AK28"/>
  <c r="AL28"/>
  <c r="AM28"/>
  <c r="AN28"/>
  <c r="AK29"/>
  <c r="AL29"/>
  <c r="AM29"/>
  <c r="AN29"/>
  <c r="AK30"/>
  <c r="AL30"/>
  <c r="AM30"/>
  <c r="AN30"/>
  <c r="AK31"/>
  <c r="AL31"/>
  <c r="AM31"/>
  <c r="AN31"/>
  <c r="AK32"/>
  <c r="AL32"/>
  <c r="AM32"/>
  <c r="AN32"/>
  <c r="AK33"/>
  <c r="AL33"/>
  <c r="AM33"/>
  <c r="AN33"/>
  <c r="AK34"/>
  <c r="AL34"/>
  <c r="AM34"/>
  <c r="AN34"/>
  <c r="AK35"/>
  <c r="AL35"/>
  <c r="AM35"/>
  <c r="AN35"/>
  <c r="AK36"/>
  <c r="AL36"/>
  <c r="AM36"/>
  <c r="AN36"/>
  <c r="AN10"/>
  <c r="AM10"/>
  <c r="AL10"/>
  <c r="AK10"/>
  <c r="AG11"/>
  <c r="AH11"/>
  <c r="AI11"/>
  <c r="AJ11"/>
  <c r="AG12"/>
  <c r="AH12"/>
  <c r="AI12"/>
  <c r="AJ12"/>
  <c r="AG13"/>
  <c r="AH13"/>
  <c r="AI13"/>
  <c r="AJ13"/>
  <c r="AG14"/>
  <c r="AH14"/>
  <c r="AI14"/>
  <c r="AJ14"/>
  <c r="AG15"/>
  <c r="AH15"/>
  <c r="AI15"/>
  <c r="AJ15"/>
  <c r="AG16"/>
  <c r="AH16"/>
  <c r="AI16"/>
  <c r="AJ16"/>
  <c r="AG17"/>
  <c r="AH17"/>
  <c r="AI17"/>
  <c r="AJ17"/>
  <c r="AG18"/>
  <c r="AH18"/>
  <c r="AI18"/>
  <c r="AJ18"/>
  <c r="AG19"/>
  <c r="AH19"/>
  <c r="AI19"/>
  <c r="AJ19"/>
  <c r="AG20"/>
  <c r="AH20"/>
  <c r="AI20"/>
  <c r="AJ20"/>
  <c r="AG21"/>
  <c r="AH21"/>
  <c r="AI21"/>
  <c r="AJ21"/>
  <c r="AG22"/>
  <c r="AH22"/>
  <c r="AI22"/>
  <c r="AJ22"/>
  <c r="AG23"/>
  <c r="AH23"/>
  <c r="AI23"/>
  <c r="AJ23"/>
  <c r="AG24"/>
  <c r="AH24"/>
  <c r="AI24"/>
  <c r="AJ24"/>
  <c r="AG25"/>
  <c r="AH25"/>
  <c r="AI25"/>
  <c r="AJ25"/>
  <c r="AG26"/>
  <c r="AH26"/>
  <c r="AI26"/>
  <c r="AJ26"/>
  <c r="AG27"/>
  <c r="AH27"/>
  <c r="AI27"/>
  <c r="AJ27"/>
  <c r="AG28"/>
  <c r="AH28"/>
  <c r="AI28"/>
  <c r="AJ28"/>
  <c r="AG29"/>
  <c r="AH29"/>
  <c r="AI29"/>
  <c r="AJ29"/>
  <c r="AG30"/>
  <c r="AH30"/>
  <c r="AI30"/>
  <c r="AJ30"/>
  <c r="AG31"/>
  <c r="AH31"/>
  <c r="AI31"/>
  <c r="AJ31"/>
  <c r="AG32"/>
  <c r="AH32"/>
  <c r="AI32"/>
  <c r="AJ32"/>
  <c r="AG33"/>
  <c r="AH33"/>
  <c r="AI33"/>
  <c r="AJ33"/>
  <c r="AG34"/>
  <c r="AH34"/>
  <c r="AI34"/>
  <c r="AJ34"/>
  <c r="AG35"/>
  <c r="AH35"/>
  <c r="AI35"/>
  <c r="AJ35"/>
  <c r="AG36"/>
  <c r="AH36"/>
  <c r="AI36"/>
  <c r="AJ36"/>
  <c r="AC11"/>
  <c r="AD11"/>
  <c r="AE11"/>
  <c r="AF11"/>
  <c r="AC12"/>
  <c r="AD12"/>
  <c r="AE12"/>
  <c r="AF12"/>
  <c r="AC13"/>
  <c r="AD13"/>
  <c r="AE13"/>
  <c r="AF13"/>
  <c r="AC14"/>
  <c r="AD14"/>
  <c r="AE14"/>
  <c r="AF14"/>
  <c r="AC15"/>
  <c r="AD15"/>
  <c r="AE15"/>
  <c r="AF15"/>
  <c r="AC16"/>
  <c r="AD16"/>
  <c r="AE16"/>
  <c r="AF16"/>
  <c r="AC17"/>
  <c r="AD17"/>
  <c r="AE17"/>
  <c r="AF17"/>
  <c r="AC18"/>
  <c r="AD18"/>
  <c r="AE18"/>
  <c r="AF18"/>
  <c r="AC19"/>
  <c r="AD19"/>
  <c r="AE19"/>
  <c r="AF19"/>
  <c r="AC20"/>
  <c r="AD20"/>
  <c r="AE20"/>
  <c r="AF20"/>
  <c r="AC21"/>
  <c r="AD21"/>
  <c r="AE21"/>
  <c r="AF21"/>
  <c r="AC22"/>
  <c r="AD22"/>
  <c r="AE22"/>
  <c r="AF22"/>
  <c r="AC23"/>
  <c r="AD23"/>
  <c r="AE23"/>
  <c r="AF23"/>
  <c r="AC24"/>
  <c r="AD24"/>
  <c r="AE24"/>
  <c r="AF24"/>
  <c r="AC25"/>
  <c r="AD25"/>
  <c r="AE25"/>
  <c r="AF25"/>
  <c r="AC26"/>
  <c r="AD26"/>
  <c r="AE26"/>
  <c r="AF26"/>
  <c r="AC27"/>
  <c r="AD27"/>
  <c r="AE27"/>
  <c r="AF27"/>
  <c r="AC28"/>
  <c r="AD28"/>
  <c r="AE28"/>
  <c r="AF28"/>
  <c r="AC29"/>
  <c r="AD29"/>
  <c r="AE29"/>
  <c r="AF29"/>
  <c r="AC30"/>
  <c r="AD30"/>
  <c r="AE30"/>
  <c r="AF30"/>
  <c r="AC31"/>
  <c r="AD31"/>
  <c r="AE31"/>
  <c r="AF31"/>
  <c r="AC32"/>
  <c r="AD32"/>
  <c r="AE32"/>
  <c r="AF32"/>
  <c r="AC33"/>
  <c r="AD33"/>
  <c r="AE33"/>
  <c r="AF33"/>
  <c r="AC34"/>
  <c r="AD34"/>
  <c r="AE34"/>
  <c r="AF34"/>
  <c r="AC35"/>
  <c r="AD35"/>
  <c r="AE35"/>
  <c r="AF35"/>
  <c r="AC36"/>
  <c r="AD36"/>
  <c r="AE36"/>
  <c r="AF36"/>
  <c r="AJ10"/>
  <c r="AI10"/>
  <c r="AH10"/>
  <c r="AG10"/>
  <c r="AF10"/>
  <c r="AE10"/>
  <c r="AD10"/>
  <c r="AC10"/>
  <c r="Y11"/>
  <c r="Z11"/>
  <c r="AA11"/>
  <c r="AB11"/>
  <c r="Y12"/>
  <c r="Z12"/>
  <c r="AA12"/>
  <c r="AB12"/>
  <c r="Y13"/>
  <c r="Z13"/>
  <c r="AA13"/>
  <c r="AB13"/>
  <c r="Y14"/>
  <c r="Z14"/>
  <c r="AA14"/>
  <c r="AB14"/>
  <c r="Y15"/>
  <c r="Z15"/>
  <c r="AA15"/>
  <c r="AB15"/>
  <c r="Y16"/>
  <c r="Z16"/>
  <c r="AA16"/>
  <c r="AB16"/>
  <c r="Y17"/>
  <c r="Z17"/>
  <c r="AA17"/>
  <c r="AB17"/>
  <c r="Y18"/>
  <c r="Z18"/>
  <c r="AA18"/>
  <c r="AB18"/>
  <c r="Y19"/>
  <c r="Z19"/>
  <c r="AA19"/>
  <c r="AB19"/>
  <c r="Y20"/>
  <c r="Z20"/>
  <c r="AA20"/>
  <c r="AB20"/>
  <c r="Y21"/>
  <c r="Z21"/>
  <c r="AA21"/>
  <c r="AB21"/>
  <c r="Y22"/>
  <c r="Z22"/>
  <c r="AA22"/>
  <c r="AB22"/>
  <c r="Y23"/>
  <c r="Z23"/>
  <c r="AA23"/>
  <c r="AB23"/>
  <c r="Y24"/>
  <c r="Z24"/>
  <c r="AA24"/>
  <c r="AB24"/>
  <c r="Y25"/>
  <c r="Z25"/>
  <c r="AA25"/>
  <c r="AB25"/>
  <c r="Y26"/>
  <c r="Z26"/>
  <c r="AA26"/>
  <c r="AB26"/>
  <c r="Y27"/>
  <c r="Z27"/>
  <c r="AA27"/>
  <c r="AB27"/>
  <c r="Y28"/>
  <c r="Z28"/>
  <c r="AA28"/>
  <c r="AB28"/>
  <c r="Y29"/>
  <c r="Z29"/>
  <c r="AA29"/>
  <c r="AB29"/>
  <c r="Y30"/>
  <c r="Z30"/>
  <c r="AA30"/>
  <c r="AB30"/>
  <c r="Y31"/>
  <c r="Z31"/>
  <c r="AA31"/>
  <c r="AB31"/>
  <c r="Y32"/>
  <c r="Z32"/>
  <c r="AA32"/>
  <c r="AB32"/>
  <c r="Y33"/>
  <c r="Z33"/>
  <c r="AA33"/>
  <c r="AB33"/>
  <c r="Y34"/>
  <c r="Z34"/>
  <c r="AA34"/>
  <c r="AB34"/>
  <c r="Y35"/>
  <c r="Z35"/>
  <c r="AA35"/>
  <c r="AB35"/>
  <c r="Y36"/>
  <c r="Z36"/>
  <c r="AA36"/>
  <c r="AB36"/>
  <c r="AB10"/>
  <c r="AA10"/>
  <c r="Z10"/>
  <c r="Y10"/>
  <c r="U11"/>
  <c r="V11"/>
  <c r="W11"/>
  <c r="X11"/>
  <c r="U12"/>
  <c r="V12"/>
  <c r="W12"/>
  <c r="X12"/>
  <c r="U13"/>
  <c r="V13"/>
  <c r="W13"/>
  <c r="X13"/>
  <c r="U14"/>
  <c r="V14"/>
  <c r="W14"/>
  <c r="X14"/>
  <c r="U15"/>
  <c r="V15"/>
  <c r="W15"/>
  <c r="X15"/>
  <c r="U16"/>
  <c r="V16"/>
  <c r="W16"/>
  <c r="X16"/>
  <c r="U17"/>
  <c r="V17"/>
  <c r="W17"/>
  <c r="X17"/>
  <c r="U18"/>
  <c r="V18"/>
  <c r="W18"/>
  <c r="X18"/>
  <c r="U19"/>
  <c r="V19"/>
  <c r="W19"/>
  <c r="X19"/>
  <c r="U20"/>
  <c r="V20"/>
  <c r="W20"/>
  <c r="X20"/>
  <c r="U21"/>
  <c r="V21"/>
  <c r="W21"/>
  <c r="X21"/>
  <c r="U22"/>
  <c r="V22"/>
  <c r="W22"/>
  <c r="X22"/>
  <c r="U23"/>
  <c r="V23"/>
  <c r="W23"/>
  <c r="X23"/>
  <c r="U24"/>
  <c r="V24"/>
  <c r="W24"/>
  <c r="X24"/>
  <c r="U25"/>
  <c r="V25"/>
  <c r="W25"/>
  <c r="X25"/>
  <c r="U26"/>
  <c r="V26"/>
  <c r="W26"/>
  <c r="X26"/>
  <c r="U27"/>
  <c r="V27"/>
  <c r="W27"/>
  <c r="X27"/>
  <c r="U28"/>
  <c r="V28"/>
  <c r="W28"/>
  <c r="X28"/>
  <c r="U29"/>
  <c r="V29"/>
  <c r="W29"/>
  <c r="X29"/>
  <c r="U30"/>
  <c r="V30"/>
  <c r="W30"/>
  <c r="X30"/>
  <c r="U31"/>
  <c r="V31"/>
  <c r="W31"/>
  <c r="X31"/>
  <c r="U32"/>
  <c r="V32"/>
  <c r="W32"/>
  <c r="X32"/>
  <c r="U33"/>
  <c r="V33"/>
  <c r="W33"/>
  <c r="X33"/>
  <c r="U34"/>
  <c r="V34"/>
  <c r="W34"/>
  <c r="X34"/>
  <c r="U35"/>
  <c r="V35"/>
  <c r="W35"/>
  <c r="X35"/>
  <c r="U36"/>
  <c r="V36"/>
  <c r="W36"/>
  <c r="X36"/>
  <c r="X10"/>
  <c r="W10"/>
  <c r="V10"/>
  <c r="U10"/>
  <c r="Q11"/>
  <c r="R11"/>
  <c r="S11"/>
  <c r="T11"/>
  <c r="Q12"/>
  <c r="R12"/>
  <c r="S12"/>
  <c r="T12"/>
  <c r="Q13"/>
  <c r="R13"/>
  <c r="S13"/>
  <c r="T13"/>
  <c r="Q14"/>
  <c r="R14"/>
  <c r="S14"/>
  <c r="T14"/>
  <c r="Q15"/>
  <c r="R15"/>
  <c r="S15"/>
  <c r="T15"/>
  <c r="Q16"/>
  <c r="R16"/>
  <c r="S16"/>
  <c r="T16"/>
  <c r="Q17"/>
  <c r="R17"/>
  <c r="S17"/>
  <c r="T17"/>
  <c r="Q18"/>
  <c r="R18"/>
  <c r="S18"/>
  <c r="T18"/>
  <c r="Q19"/>
  <c r="R19"/>
  <c r="S19"/>
  <c r="T19"/>
  <c r="Q20"/>
  <c r="R20"/>
  <c r="S20"/>
  <c r="T20"/>
  <c r="Q21"/>
  <c r="R21"/>
  <c r="S21"/>
  <c r="T21"/>
  <c r="Q22"/>
  <c r="R22"/>
  <c r="S22"/>
  <c r="T22"/>
  <c r="Q23"/>
  <c r="R23"/>
  <c r="S23"/>
  <c r="T23"/>
  <c r="Q24"/>
  <c r="R24"/>
  <c r="S24"/>
  <c r="T24"/>
  <c r="Q25"/>
  <c r="R25"/>
  <c r="S25"/>
  <c r="T25"/>
  <c r="Q26"/>
  <c r="R26"/>
  <c r="S26"/>
  <c r="T26"/>
  <c r="Q27"/>
  <c r="R27"/>
  <c r="S27"/>
  <c r="T27"/>
  <c r="Q28"/>
  <c r="R28"/>
  <c r="S28"/>
  <c r="T28"/>
  <c r="Q29"/>
  <c r="R29"/>
  <c r="S29"/>
  <c r="T29"/>
  <c r="Q30"/>
  <c r="R30"/>
  <c r="S30"/>
  <c r="T30"/>
  <c r="Q31"/>
  <c r="R31"/>
  <c r="S31"/>
  <c r="T31"/>
  <c r="Q32"/>
  <c r="R32"/>
  <c r="S32"/>
  <c r="T32"/>
  <c r="Q33"/>
  <c r="R33"/>
  <c r="S33"/>
  <c r="T33"/>
  <c r="Q34"/>
  <c r="R34"/>
  <c r="S34"/>
  <c r="T34"/>
  <c r="Q35"/>
  <c r="R35"/>
  <c r="S35"/>
  <c r="T35"/>
  <c r="Q36"/>
  <c r="R36"/>
  <c r="S36"/>
  <c r="T36"/>
  <c r="T10"/>
  <c r="S10"/>
  <c r="R10"/>
  <c r="Q10"/>
  <c r="M11"/>
  <c r="N11"/>
  <c r="O11"/>
  <c r="P11"/>
  <c r="M12"/>
  <c r="N12"/>
  <c r="O12"/>
  <c r="P12"/>
  <c r="M13"/>
  <c r="N13"/>
  <c r="O13"/>
  <c r="P13"/>
  <c r="M14"/>
  <c r="N14"/>
  <c r="O14"/>
  <c r="P14"/>
  <c r="M15"/>
  <c r="N15"/>
  <c r="O15"/>
  <c r="P15"/>
  <c r="M16"/>
  <c r="N16"/>
  <c r="O16"/>
  <c r="P16"/>
  <c r="M17"/>
  <c r="N17"/>
  <c r="O17"/>
  <c r="P17"/>
  <c r="M18"/>
  <c r="N18"/>
  <c r="O18"/>
  <c r="P18"/>
  <c r="M19"/>
  <c r="N19"/>
  <c r="O19"/>
  <c r="P19"/>
  <c r="M20"/>
  <c r="N20"/>
  <c r="O20"/>
  <c r="P20"/>
  <c r="M21"/>
  <c r="N21"/>
  <c r="O21"/>
  <c r="P21"/>
  <c r="M22"/>
  <c r="N22"/>
  <c r="O22"/>
  <c r="P22"/>
  <c r="M23"/>
  <c r="N23"/>
  <c r="O23"/>
  <c r="P23"/>
  <c r="M24"/>
  <c r="N24"/>
  <c r="O24"/>
  <c r="P24"/>
  <c r="M25"/>
  <c r="N25"/>
  <c r="O25"/>
  <c r="P25"/>
  <c r="M26"/>
  <c r="N26"/>
  <c r="O26"/>
  <c r="P26"/>
  <c r="M27"/>
  <c r="N27"/>
  <c r="O27"/>
  <c r="P27"/>
  <c r="M28"/>
  <c r="N28"/>
  <c r="O28"/>
  <c r="P28"/>
  <c r="M29"/>
  <c r="N29"/>
  <c r="O29"/>
  <c r="P29"/>
  <c r="M30"/>
  <c r="N30"/>
  <c r="O30"/>
  <c r="P30"/>
  <c r="M31"/>
  <c r="N31"/>
  <c r="O31"/>
  <c r="P31"/>
  <c r="M32"/>
  <c r="N32"/>
  <c r="O32"/>
  <c r="P32"/>
  <c r="M33"/>
  <c r="N33"/>
  <c r="O33"/>
  <c r="P33"/>
  <c r="M34"/>
  <c r="N34"/>
  <c r="O34"/>
  <c r="P34"/>
  <c r="M35"/>
  <c r="N35"/>
  <c r="O35"/>
  <c r="P35"/>
  <c r="M36"/>
  <c r="N36"/>
  <c r="O36"/>
  <c r="P36"/>
  <c r="P10"/>
  <c r="O10"/>
  <c r="N10"/>
  <c r="M10"/>
  <c r="I11"/>
  <c r="J11"/>
  <c r="K11"/>
  <c r="L11"/>
  <c r="I12"/>
  <c r="J12"/>
  <c r="K12"/>
  <c r="L12"/>
  <c r="I13"/>
  <c r="J13"/>
  <c r="K13"/>
  <c r="L13"/>
  <c r="I14"/>
  <c r="J14"/>
  <c r="K14"/>
  <c r="L14"/>
  <c r="I15"/>
  <c r="J15"/>
  <c r="K15"/>
  <c r="L15"/>
  <c r="I16"/>
  <c r="J16"/>
  <c r="K16"/>
  <c r="L16"/>
  <c r="I17"/>
  <c r="J17"/>
  <c r="K17"/>
  <c r="L17"/>
  <c r="I18"/>
  <c r="J18"/>
  <c r="K18"/>
  <c r="L18"/>
  <c r="I19"/>
  <c r="J19"/>
  <c r="K19"/>
  <c r="L19"/>
  <c r="I20"/>
  <c r="J20"/>
  <c r="K20"/>
  <c r="L20"/>
  <c r="I21"/>
  <c r="J21"/>
  <c r="K21"/>
  <c r="L21"/>
  <c r="I22"/>
  <c r="J22"/>
  <c r="K22"/>
  <c r="L22"/>
  <c r="I23"/>
  <c r="J23"/>
  <c r="K23"/>
  <c r="L23"/>
  <c r="I24"/>
  <c r="J24"/>
  <c r="K24"/>
  <c r="L24"/>
  <c r="I25"/>
  <c r="J25"/>
  <c r="K25"/>
  <c r="L25"/>
  <c r="I26"/>
  <c r="J26"/>
  <c r="K26"/>
  <c r="L26"/>
  <c r="I27"/>
  <c r="J27"/>
  <c r="K27"/>
  <c r="L27"/>
  <c r="I28"/>
  <c r="J28"/>
  <c r="K28"/>
  <c r="L28"/>
  <c r="I29"/>
  <c r="J29"/>
  <c r="K29"/>
  <c r="L29"/>
  <c r="I30"/>
  <c r="J30"/>
  <c r="K30"/>
  <c r="L30"/>
  <c r="I31"/>
  <c r="J31"/>
  <c r="K31"/>
  <c r="L31"/>
  <c r="I32"/>
  <c r="J32"/>
  <c r="K32"/>
  <c r="L32"/>
  <c r="I33"/>
  <c r="J33"/>
  <c r="K33"/>
  <c r="L33"/>
  <c r="I34"/>
  <c r="J34"/>
  <c r="K34"/>
  <c r="L34"/>
  <c r="I35"/>
  <c r="J35"/>
  <c r="K35"/>
  <c r="L35"/>
  <c r="I36"/>
  <c r="J36"/>
  <c r="K36"/>
  <c r="L36"/>
  <c r="L10"/>
  <c r="E12" i="51" s="1"/>
  <c r="K10" i="47"/>
  <c r="D12" i="51" s="1"/>
  <c r="J10" i="47"/>
  <c r="C12" i="51" s="1"/>
  <c r="I10" i="47"/>
  <c r="B12" i="51" s="1"/>
  <c r="E36" i="47"/>
  <c r="E25"/>
  <c r="F25"/>
  <c r="G25"/>
  <c r="H25"/>
  <c r="E26"/>
  <c r="F26"/>
  <c r="G26"/>
  <c r="H26"/>
  <c r="E27"/>
  <c r="F27"/>
  <c r="G27"/>
  <c r="H27"/>
  <c r="E28"/>
  <c r="F28"/>
  <c r="G28"/>
  <c r="H28"/>
  <c r="E29"/>
  <c r="F29"/>
  <c r="G29"/>
  <c r="H29"/>
  <c r="E30"/>
  <c r="F30"/>
  <c r="G30"/>
  <c r="H30"/>
  <c r="E31"/>
  <c r="F31"/>
  <c r="G31"/>
  <c r="H31"/>
  <c r="E32"/>
  <c r="F32"/>
  <c r="G32"/>
  <c r="H32"/>
  <c r="E33"/>
  <c r="F33"/>
  <c r="G33"/>
  <c r="H33"/>
  <c r="E34"/>
  <c r="F34"/>
  <c r="G34"/>
  <c r="H34"/>
  <c r="E35"/>
  <c r="F35"/>
  <c r="G35"/>
  <c r="H35"/>
  <c r="F36"/>
  <c r="G36"/>
  <c r="H36"/>
  <c r="E24"/>
  <c r="F24"/>
  <c r="G24"/>
  <c r="H24"/>
  <c r="H23"/>
  <c r="G23"/>
  <c r="F23"/>
  <c r="E23"/>
  <c r="H22"/>
  <c r="G22"/>
  <c r="F22"/>
  <c r="E22"/>
  <c r="H21"/>
  <c r="G21"/>
  <c r="F21"/>
  <c r="E21"/>
  <c r="H20"/>
  <c r="G20"/>
  <c r="F20"/>
  <c r="E20"/>
  <c r="H19"/>
  <c r="G19"/>
  <c r="F19"/>
  <c r="E19"/>
  <c r="H18"/>
  <c r="G18"/>
  <c r="F18"/>
  <c r="E18"/>
  <c r="H17"/>
  <c r="G17"/>
  <c r="F17"/>
  <c r="E17"/>
  <c r="H16"/>
  <c r="G16"/>
  <c r="F16"/>
  <c r="E16"/>
  <c r="H15"/>
  <c r="G15"/>
  <c r="F15"/>
  <c r="E15"/>
  <c r="H14"/>
  <c r="G14"/>
  <c r="F14"/>
  <c r="E14"/>
  <c r="H13"/>
  <c r="G13"/>
  <c r="F13"/>
  <c r="E13"/>
  <c r="H12"/>
  <c r="G12"/>
  <c r="F12"/>
  <c r="E12"/>
  <c r="H11"/>
  <c r="G11"/>
  <c r="F11"/>
  <c r="E11"/>
  <c r="H10"/>
  <c r="E7" i="51" s="1"/>
  <c r="E16" s="1"/>
  <c r="E18" s="1"/>
  <c r="G10" i="47"/>
  <c r="D7" i="51" s="1"/>
  <c r="F10" i="47"/>
  <c r="C7" i="51" s="1"/>
  <c r="C16" s="1"/>
  <c r="C18" s="1"/>
  <c r="E10" i="47"/>
  <c r="B7" i="51" s="1"/>
  <c r="B16" s="1"/>
  <c r="B18" s="1"/>
  <c r="B20" s="1"/>
  <c r="D8" i="47"/>
  <c r="D16" i="51" l="1"/>
  <c r="D18" s="1"/>
  <c r="D20" s="1"/>
  <c r="M6" i="50" s="1"/>
  <c r="C20" i="51"/>
  <c r="L6" i="50" s="1"/>
  <c r="L7"/>
  <c r="N7"/>
  <c r="E20" i="51"/>
  <c r="N6" i="50" s="1"/>
  <c r="L39" i="46"/>
  <c r="K39"/>
  <c r="J39"/>
  <c r="I39"/>
  <c r="F39"/>
  <c r="F44" s="1"/>
  <c r="E39"/>
  <c r="E44" s="1"/>
  <c r="D39"/>
  <c r="D44" s="1"/>
  <c r="C39"/>
  <c r="C44" s="1"/>
  <c r="L26"/>
  <c r="K26"/>
  <c r="J26"/>
  <c r="I26"/>
  <c r="F26"/>
  <c r="E26"/>
  <c r="D26"/>
  <c r="C26"/>
  <c r="L16"/>
  <c r="K16"/>
  <c r="J16"/>
  <c r="I16"/>
  <c r="F16"/>
  <c r="E16"/>
  <c r="D16"/>
  <c r="C16"/>
  <c r="K44" i="35"/>
  <c r="J44"/>
  <c r="I44"/>
  <c r="H44"/>
  <c r="E44"/>
  <c r="E49" s="1"/>
  <c r="D44"/>
  <c r="D49" s="1"/>
  <c r="C44"/>
  <c r="C49" s="1"/>
  <c r="B44"/>
  <c r="B49" s="1"/>
  <c r="K30"/>
  <c r="J30"/>
  <c r="I30"/>
  <c r="H30"/>
  <c r="E30"/>
  <c r="D30"/>
  <c r="C30"/>
  <c r="B30"/>
  <c r="K14"/>
  <c r="J14"/>
  <c r="I14"/>
  <c r="H14"/>
  <c r="E14"/>
  <c r="D14"/>
  <c r="C14"/>
  <c r="B14"/>
  <c r="M7" i="50" l="1"/>
</calcChain>
</file>

<file path=xl/comments1.xml><?xml version="1.0" encoding="utf-8"?>
<comments xmlns="http://schemas.openxmlformats.org/spreadsheetml/2006/main">
  <authors>
    <author>JEFF NUGENT</author>
  </authors>
  <commentList>
    <comment ref="A6" authorId="0">
      <text>
        <r>
          <rPr>
            <b/>
            <sz val="9"/>
            <color indexed="81"/>
            <rFont val="Tahoma"/>
            <family val="2"/>
          </rPr>
          <t>Change row #, drag across</t>
        </r>
      </text>
    </comment>
    <comment ref="A11" authorId="0">
      <text>
        <r>
          <rPr>
            <b/>
            <sz val="9"/>
            <color indexed="81"/>
            <rFont val="Tahoma"/>
            <family val="2"/>
          </rPr>
          <t xml:space="preserve">Enter municipal scenario data for residential heat.
</t>
        </r>
      </text>
    </comment>
    <comment ref="A14" authorId="0">
      <text>
        <r>
          <rPr>
            <b/>
            <sz val="9"/>
            <color indexed="81"/>
            <rFont val="Tahoma"/>
            <family val="2"/>
          </rPr>
          <t>Multiply by municipal population percentage.</t>
        </r>
      </text>
    </comment>
    <comment ref="A19" authorId="0">
      <text>
        <r>
          <rPr>
            <b/>
            <sz val="9"/>
            <color indexed="81"/>
            <rFont val="Tahoma"/>
            <family val="2"/>
          </rPr>
          <t>Change row, # housing units</t>
        </r>
      </text>
    </comment>
    <comment ref="A39" authorId="0">
      <text>
        <r>
          <rPr>
            <b/>
            <sz val="9"/>
            <color indexed="81"/>
            <rFont val="Tahoma"/>
            <family val="2"/>
          </rPr>
          <t>Enter the amount of homes in town.</t>
        </r>
      </text>
    </comment>
    <comment ref="A48" authorId="0">
      <text>
        <r>
          <rPr>
            <b/>
            <sz val="9"/>
            <color indexed="81"/>
            <rFont val="Tahoma"/>
            <family val="2"/>
          </rPr>
          <t>Enter percent of town's regional energy use, change row.</t>
        </r>
      </text>
    </comment>
  </commentList>
</comments>
</file>

<file path=xl/comments2.xml><?xml version="1.0" encoding="utf-8"?>
<comments xmlns="http://schemas.openxmlformats.org/spreadsheetml/2006/main">
  <authors>
    <author>JEFF NUGENT</author>
  </authors>
  <commentList>
    <comment ref="A9" authorId="0">
      <text>
        <r>
          <rPr>
            <b/>
            <sz val="9"/>
            <color indexed="81"/>
            <rFont val="Tahoma"/>
            <family val="2"/>
          </rPr>
          <t xml:space="preserve">Multiply by town percentage of population.
</t>
        </r>
      </text>
    </comment>
    <comment ref="A13" authorId="0">
      <text>
        <r>
          <rPr>
            <b/>
            <sz val="9"/>
            <color indexed="81"/>
            <rFont val="Tahoma"/>
            <family val="2"/>
          </rPr>
          <t xml:space="preserve">Copy/paste row 9
</t>
        </r>
      </text>
    </comment>
    <comment ref="A17" authorId="0">
      <text>
        <r>
          <rPr>
            <b/>
            <sz val="9"/>
            <color indexed="81"/>
            <rFont val="Tahoma"/>
            <family val="2"/>
          </rPr>
          <t>Enter percent of regional businesses.</t>
        </r>
      </text>
    </comment>
    <comment ref="A23" authorId="0">
      <text>
        <r>
          <rPr>
            <b/>
            <sz val="9"/>
            <color indexed="81"/>
            <rFont val="Tahoma"/>
            <family val="2"/>
          </rPr>
          <t xml:space="preserve">Enter % population
</t>
        </r>
      </text>
    </comment>
    <comment ref="A27" authorId="0">
      <text>
        <r>
          <rPr>
            <b/>
            <sz val="9"/>
            <color indexed="81"/>
            <rFont val="Tahoma"/>
            <family val="2"/>
          </rPr>
          <t xml:space="preserve">percent population
</t>
        </r>
      </text>
    </comment>
    <comment ref="A31" authorId="0">
      <text>
        <r>
          <rPr>
            <b/>
            <sz val="9"/>
            <color indexed="81"/>
            <rFont val="Tahoma"/>
            <family val="2"/>
          </rPr>
          <t>Enter percent businesses.</t>
        </r>
      </text>
    </comment>
    <comment ref="A44" authorId="0">
      <text>
        <r>
          <rPr>
            <b/>
            <sz val="9"/>
            <color indexed="81"/>
            <rFont val="Tahoma"/>
            <family val="2"/>
          </rPr>
          <t xml:space="preserve">percent of population
</t>
        </r>
      </text>
    </comment>
    <comment ref="A53" authorId="0">
      <text>
        <r>
          <rPr>
            <b/>
            <sz val="9"/>
            <color indexed="81"/>
            <rFont val="Tahoma"/>
            <family val="2"/>
          </rPr>
          <t>percent population</t>
        </r>
      </text>
    </comment>
    <comment ref="A62" authorId="0">
      <text>
        <r>
          <rPr>
            <b/>
            <sz val="9"/>
            <color indexed="81"/>
            <rFont val="Tahoma"/>
            <family val="2"/>
          </rPr>
          <t>percent population</t>
        </r>
      </text>
    </comment>
  </commentList>
</comments>
</file>

<file path=xl/comments3.xml><?xml version="1.0" encoding="utf-8"?>
<comments xmlns="http://schemas.openxmlformats.org/spreadsheetml/2006/main">
  <authors>
    <author>WRCGIS</author>
  </authors>
  <commentList>
    <comment ref="D5" authorId="0">
      <text>
        <r>
          <rPr>
            <b/>
            <sz val="9"/>
            <color indexed="81"/>
            <rFont val="Tahoma"/>
            <family val="2"/>
          </rPr>
          <t>WRCGIS:</t>
        </r>
        <r>
          <rPr>
            <sz val="9"/>
            <color indexed="81"/>
            <rFont val="Tahoma"/>
            <family val="2"/>
          </rPr>
          <t xml:space="preserve">
Taken from US Census Bureau Data</t>
        </r>
      </text>
    </comment>
    <comment ref="D39" authorId="0">
      <text>
        <r>
          <rPr>
            <b/>
            <sz val="9"/>
            <color indexed="81"/>
            <rFont val="Tahoma"/>
            <family val="2"/>
          </rPr>
          <t>WRC:</t>
        </r>
        <r>
          <rPr>
            <sz val="9"/>
            <color indexed="81"/>
            <rFont val="Tahoma"/>
            <family val="2"/>
          </rPr>
          <t xml:space="preserve">
Taken from information collected by Efficiency Vermont, over all regional service providers.</t>
        </r>
      </text>
    </comment>
  </commentList>
</comments>
</file>

<file path=xl/sharedStrings.xml><?xml version="1.0" encoding="utf-8"?>
<sst xmlns="http://schemas.openxmlformats.org/spreadsheetml/2006/main" count="547" uniqueCount="229">
  <si>
    <t>Branches</t>
  </si>
  <si>
    <t>Biodistillates</t>
  </si>
  <si>
    <t>-</t>
  </si>
  <si>
    <t>Cord Wood</t>
  </si>
  <si>
    <t>Electric Resistance</t>
  </si>
  <si>
    <t>Heat Pump</t>
  </si>
  <si>
    <t>Heat Pump Water Heater</t>
  </si>
  <si>
    <t>Kerosene</t>
  </si>
  <si>
    <t>LPG</t>
  </si>
  <si>
    <t>Natural Gas</t>
  </si>
  <si>
    <t>Oil</t>
  </si>
  <si>
    <t>Wood pellets</t>
  </si>
  <si>
    <t>Total</t>
  </si>
  <si>
    <t>Biofuel</t>
  </si>
  <si>
    <t>Distillate Fuel Oil</t>
  </si>
  <si>
    <t>Electric Use</t>
  </si>
  <si>
    <t>Residual Fuel Oil</t>
  </si>
  <si>
    <t>Wood and wood waste consumption</t>
  </si>
  <si>
    <t>Biodiesel</t>
  </si>
  <si>
    <t>CNG</t>
  </si>
  <si>
    <t>Diesel</t>
  </si>
  <si>
    <t>Gasoline</t>
  </si>
  <si>
    <t>Ethanol</t>
  </si>
  <si>
    <t>Electricity</t>
  </si>
  <si>
    <t>Hydrogen</t>
  </si>
  <si>
    <t xml:space="preserve"> 1) Reference Scenario Total Regional Residential Heating Consumption Thousand MMBTUs</t>
  </si>
  <si>
    <t>Electric Appliances</t>
  </si>
  <si>
    <t>Electric Kitchen Range</t>
  </si>
  <si>
    <t>Electric Lighting</t>
  </si>
  <si>
    <t>Misc Electric</t>
  </si>
  <si>
    <t xml:space="preserve"> 2) 90x50 Scenario Total Regional Residential Heating Consumption Thousand MMBTUs</t>
  </si>
  <si>
    <t xml:space="preserve"> 3) Reference Scenario Total Regional Commercial Consumption Thousand MMBTUs</t>
  </si>
  <si>
    <t xml:space="preserve"> 4) 90x50 Scenario Total Regional Commercial Consumption Thousand MMBTUs</t>
  </si>
  <si>
    <t xml:space="preserve"> 5) Reference Scenario Total Regional Light Duty Vehicle Consumption Million MMBTUs</t>
  </si>
  <si>
    <t xml:space="preserve"> 6) 90x50 Scenario Total Regional Light Duty Vehicle Consumption Million MMBTUs</t>
  </si>
  <si>
    <t xml:space="preserve"> 7) Reference Scenario Total Regional Heavy Duty Vehicle Consumption Thousand MMBTUs</t>
  </si>
  <si>
    <t xml:space="preserve"> 8) 90x50 Scenario Total Regional Heavy Duty Vehicle Consumption Thousand MMBTUs</t>
  </si>
  <si>
    <t>Reference Scenario Electric Consumption by Branch</t>
  </si>
  <si>
    <t>90x50 Scenario Electric Consumption by Branch</t>
  </si>
  <si>
    <t>Electric CDs etc</t>
  </si>
  <si>
    <t>Plug Load</t>
  </si>
  <si>
    <t>Central AC</t>
  </si>
  <si>
    <t>Heat Pump Cooling</t>
  </si>
  <si>
    <t>Room Air Conditioning</t>
  </si>
  <si>
    <t xml:space="preserve"> 9) 90 % Renewable by 2050 vs Reference Residential Non-Thermal Electric Consumption, Thousand MWh</t>
  </si>
  <si>
    <t xml:space="preserve"> 5) Reference Scenario Total Regional Light Duty Vehicle Consumption Thousand MMBTUs</t>
  </si>
  <si>
    <t xml:space="preserve"> 6) 90x50 Scenario Total Regional Light Duty Vehicle Consumption Thousand MMBTUs </t>
  </si>
  <si>
    <t>Reference (no action)</t>
  </si>
  <si>
    <t>90x50 Scenario</t>
  </si>
  <si>
    <t xml:space="preserve"> Total Residential Heating Consumption (Thousand MMBTUs)</t>
  </si>
  <si>
    <t>Total, Windham</t>
  </si>
  <si>
    <t xml:space="preserve"> Total Commercial Consumption (Thousand MMBTUs)</t>
  </si>
  <si>
    <t xml:space="preserve"> Total Light Duty Vehicle Consumption (Thousand MMBTUs)</t>
  </si>
  <si>
    <t xml:space="preserve"> Total Heavy Duty Vehicle Consumption (Thousand MMBTUs)</t>
  </si>
  <si>
    <t xml:space="preserve"> Total Electricity Consumption (Thousand MMBTUs)</t>
  </si>
  <si>
    <t>Athens</t>
  </si>
  <si>
    <t>Brattleboro</t>
  </si>
  <si>
    <t>Brookline</t>
  </si>
  <si>
    <t>Dover</t>
  </si>
  <si>
    <t>Dummerston</t>
  </si>
  <si>
    <t>Grafton</t>
  </si>
  <si>
    <t>Guilford</t>
  </si>
  <si>
    <t>Halifax</t>
  </si>
  <si>
    <t>Jamaica</t>
  </si>
  <si>
    <t>Londonderry</t>
  </si>
  <si>
    <t>Marlboro</t>
  </si>
  <si>
    <t>Newfane</t>
  </si>
  <si>
    <t>Putney</t>
  </si>
  <si>
    <t>Readsboro</t>
  </si>
  <si>
    <t>Rockingham</t>
  </si>
  <si>
    <t>Searsburg</t>
  </si>
  <si>
    <t>Somerset</t>
  </si>
  <si>
    <t>Stratton</t>
  </si>
  <si>
    <t>Townshend</t>
  </si>
  <si>
    <t>Vernon</t>
  </si>
  <si>
    <t>Wardsboro</t>
  </si>
  <si>
    <t>Westminster</t>
  </si>
  <si>
    <t>Weston</t>
  </si>
  <si>
    <t>Whitingham</t>
  </si>
  <si>
    <t>Wilmington</t>
  </si>
  <si>
    <t>Windham</t>
  </si>
  <si>
    <t>Winhall</t>
  </si>
  <si>
    <t>Percent of population</t>
  </si>
  <si>
    <t>&lt;  in Thousand MMBtu.</t>
  </si>
  <si>
    <t>&lt;  in MMBtu (same as current use calcs).</t>
  </si>
  <si>
    <t>This workbook is designed as an aid to Regional and Town Planners in the development of :</t>
  </si>
  <si>
    <t xml:space="preserve">All cells requiring Planner inputs are formatted like this (this is already completed for your town, but you may choose to change these values): </t>
  </si>
  <si>
    <r>
      <t>All cells formula providing input,</t>
    </r>
    <r>
      <rPr>
        <i/>
        <sz val="12"/>
        <color theme="1"/>
        <rFont val="Calibri"/>
        <family val="2"/>
        <scheme val="minor"/>
      </rPr>
      <t xml:space="preserve"> </t>
    </r>
    <r>
      <rPr>
        <b/>
        <i/>
        <sz val="12"/>
        <color theme="1"/>
        <rFont val="Calibri"/>
        <family val="2"/>
        <scheme val="minor"/>
      </rPr>
      <t>but are based on state averages,</t>
    </r>
    <r>
      <rPr>
        <i/>
        <sz val="12"/>
        <color theme="1"/>
        <rFont val="Calibri"/>
        <family val="2"/>
        <scheme val="minor"/>
      </rPr>
      <t>look like this (also completed for your town, but you can play with this assumptions and averages if appropriate for your municipality)</t>
    </r>
    <r>
      <rPr>
        <sz val="12"/>
        <color theme="1"/>
        <rFont val="Calibri"/>
        <family val="2"/>
        <charset val="128"/>
        <scheme val="minor"/>
      </rPr>
      <t>:</t>
    </r>
  </si>
  <si>
    <t>Estimates of energy effiency, conservation targets, and fuel conversions for municipalities</t>
  </si>
  <si>
    <t xml:space="preserve">To use this workbook, Planners have the option to copy/paste their town's data from the "DATA SUMMARY" tab right into their energy plan. However, planners could also enter the necessary assumptions into the input cells in the subsequent tabs if desired. </t>
  </si>
  <si>
    <t>Cells providing a result, or a completed energy efficiency estimate are formatted like this (this is the data you'll use in your plan):</t>
  </si>
  <si>
    <t>Use/Sector</t>
  </si>
  <si>
    <t>Sector</t>
  </si>
  <si>
    <t>The data above shows targets for the percentage of energy use coming from renewable sources for each sector at each target year. This was developed using information from the LEAP analysis.</t>
  </si>
  <si>
    <r>
      <rPr>
        <b/>
        <sz val="14"/>
        <color theme="1"/>
        <rFont val="Calibri"/>
        <family val="2"/>
        <scheme val="minor"/>
      </rPr>
      <t>DATA SUMMARY SHEET</t>
    </r>
    <r>
      <rPr>
        <b/>
        <sz val="12"/>
        <color theme="1"/>
        <rFont val="Calibri"/>
        <family val="2"/>
        <scheme val="minor"/>
      </rPr>
      <t xml:space="preserve">
This sheet summarizes the renewable energy efficiency, conversation, and fuel conversion estimates for your town, and references the calculations from the subsequent sheets. You may choose to copy/paste the following charts from this sheet right into your town's energy plan, or move through the sheets in this workbook to see how the calculations were done and with what assumptions. 
Some inputs can be adjusted to customize the data to be more relevant to your municipality, if needed.</t>
    </r>
  </si>
  <si>
    <t>This is the amount of energy that is the difference between the Reference and 90x50 Scenario. It is the amount that the town would need to conserve or convert overall.</t>
  </si>
  <si>
    <t xml:space="preserve">This formula computes a projection of the number of area residences weatherized, based on the value inputed above. It will be higher or lower depending on the assumption of "typical" weatherization savings. </t>
  </si>
  <si>
    <t>2015 (estimated)</t>
  </si>
  <si>
    <t>BREAK-OUT   BASED    ON    POPULATION   %</t>
  </si>
  <si>
    <t>Percent of Electricity Use</t>
  </si>
  <si>
    <t>BREAK-OUT   BASED    %    ELECTRICITY   USE</t>
  </si>
  <si>
    <t>This is an adjustment that must be made to account for the superior efficiency of heat pump technology compared to combustion based heating technology. This assumes moderate increases in equipment efficiency over time.</t>
  </si>
  <si>
    <r>
      <rPr>
        <b/>
        <sz val="12"/>
        <color theme="1"/>
        <rFont val="Calibri"/>
        <family val="2"/>
        <scheme val="minor"/>
      </rPr>
      <t>LEAP MODEL OUTPUT DATA FROM VERMONT ENERGY INVESTMENT CORP (VEIC) FOR THE ENTIRE WINDHAM REGION</t>
    </r>
    <r>
      <rPr>
        <b/>
        <sz val="14"/>
        <color theme="1"/>
        <rFont val="Calibri"/>
        <family val="2"/>
        <scheme val="minor"/>
      </rPr>
      <t xml:space="preserve">
</t>
    </r>
    <r>
      <rPr>
        <sz val="12"/>
        <color theme="1"/>
        <rFont val="Calibri"/>
        <family val="2"/>
        <scheme val="minor"/>
      </rPr>
      <t>The charts shown on this sheet is the data output from the Long-Range Energy Alternatives Planning (LEAP) energy model used state-wide to provide a pathway through which Vemront can achieve the 90x50 goal. The charts show projected energy use, efficiency, and fuel conversions for two scenarios: "Reference" and "90x50". This will help planners understand the difference between if the state consumed energy at the current rate ("business as usual"), or if efficiency and consumption patterns changed to meet state's goals.
This data is used in the calculations in the subsequent sheets as a way to show how towns in the Windham Region could address their energy use over the target years (2025, 2035, and 2050). The patterns and trends modeled for the Windham Region will be extrapolated to its member towns (estimated by percentage use). 
Again, this provides only one pathway for change, and should be used as a way to inform municipal policy. This data does not impose any regulations onto municipalities.</t>
    </r>
  </si>
  <si>
    <r>
      <rPr>
        <b/>
        <sz val="12"/>
        <color theme="1"/>
        <rFont val="Calibri"/>
        <family val="2"/>
        <scheme val="minor"/>
      </rPr>
      <t>Total heat energy consumed by Residential buildings in the Reference Scenario</t>
    </r>
    <r>
      <rPr>
        <sz val="10"/>
        <color theme="1"/>
        <rFont val="Calibri"/>
        <family val="2"/>
        <scheme val="minor"/>
      </rPr>
      <t>, in billions of Btu (taken from LEAP Table 1, and broken down for your town based on percent population).</t>
    </r>
  </si>
  <si>
    <r>
      <t xml:space="preserve">Total heat energy consumed by Residential buildings in the 90x50 Scenario, in </t>
    </r>
    <r>
      <rPr>
        <b/>
        <sz val="10"/>
        <color theme="1"/>
        <rFont val="Calibri"/>
        <family val="2"/>
        <scheme val="minor"/>
      </rPr>
      <t>millions of Btu</t>
    </r>
    <r>
      <rPr>
        <sz val="10"/>
        <color theme="1"/>
        <rFont val="Calibri"/>
        <family val="2"/>
        <scheme val="minor"/>
      </rPr>
      <t xml:space="preserve"> (taken from LEAP Table 1, and broken down for your town based on percent population).</t>
    </r>
  </si>
  <si>
    <r>
      <t xml:space="preserve">Total heat energy consumed by Residential buildings in the Reference Scenario, in </t>
    </r>
    <r>
      <rPr>
        <b/>
        <sz val="10"/>
        <color theme="1"/>
        <rFont val="Calibri"/>
        <family val="2"/>
        <scheme val="minor"/>
      </rPr>
      <t>millions of Btu</t>
    </r>
    <r>
      <rPr>
        <sz val="10"/>
        <color theme="1"/>
        <rFont val="Calibri"/>
        <family val="2"/>
        <scheme val="minor"/>
      </rPr>
      <t xml:space="preserve"> (taken from LEAP Table 1, and broken down for your town based on percent population).</t>
    </r>
  </si>
  <si>
    <r>
      <rPr>
        <b/>
        <sz val="12"/>
        <color theme="1"/>
        <rFont val="Calibri"/>
        <family val="2"/>
        <scheme val="minor"/>
      </rPr>
      <t>Total heat energy consumed by Residential buildings in 90x50 Scenario</t>
    </r>
    <r>
      <rPr>
        <sz val="10"/>
        <color theme="1"/>
        <rFont val="Calibri"/>
        <family val="2"/>
        <scheme val="minor"/>
      </rPr>
      <t>, in millions of Btu (taken from LEAP Table 2, and broken down for your municipality).</t>
    </r>
  </si>
  <si>
    <t>This is the amout of energy, in million Btu, consumed by residential heat pumps for the Windham Region in this reference scenario.</t>
  </si>
  <si>
    <t>This is the amout of energy, in million Btu, consumed by residential heat pumps for the Windham Region in the 90x50 scenario.</t>
  </si>
  <si>
    <t>This is the amount of energy, in million of Btu, consumed by residential heat pumps for your town (based on percent regional population), in the reference scenario.</t>
  </si>
  <si>
    <t>This is the amount of energy, in million of Btu, consumed by residential heat pumps for your town (based on percent regional population), in the 90x50 scenario.</t>
  </si>
  <si>
    <t>Residential Thermal Efficiency- Heat Pumps &amp; Weatherization</t>
  </si>
  <si>
    <t>Total heat energy saved through weatherization of Residential buildings in town, in millions of Btu.</t>
  </si>
  <si>
    <t>Enter an estimate of the typical amount of heat energy that will be saved through future Residential weatherization investments (historically, savings of 20 to 30 per cent are typical).</t>
  </si>
  <si>
    <t>TOWN</t>
  </si>
  <si>
    <t>Housing Units (2010 Census )</t>
  </si>
  <si>
    <t>Enter a projection of the number of future residences in the area by each year (the Windham Region's projected growth is negligibly low, and so this assumption would be appropriate, however, town planners may choose to increase the number of anticipated homes).</t>
  </si>
  <si>
    <t xml:space="preserve">This formula computes the estimated percentage of area residences weatherized by each year based on the values inputed above and on the number of existing housing units. </t>
  </si>
  <si>
    <r>
      <rPr>
        <b/>
        <sz val="11"/>
        <color theme="1"/>
        <rFont val="Calibri"/>
        <family val="2"/>
        <scheme val="minor"/>
      </rPr>
      <t>Residential thermal</t>
    </r>
    <r>
      <rPr>
        <sz val="11"/>
        <color theme="1"/>
        <rFont val="Calibri"/>
        <family val="2"/>
        <scheme val="minor"/>
      </rPr>
      <t xml:space="preserve"> (increased efficiency and conservation):
Estimated number of municipal households to be weatherized.</t>
    </r>
  </si>
  <si>
    <t>Commercial Thermal Efficiency- Heat Pumps &amp; Weatherization</t>
  </si>
  <si>
    <r>
      <rPr>
        <sz val="12"/>
        <color theme="1"/>
        <rFont val="Calibri"/>
        <family val="2"/>
        <scheme val="minor"/>
      </rPr>
      <t xml:space="preserve">Total non-electric energy consumed by </t>
    </r>
    <r>
      <rPr>
        <b/>
        <sz val="12"/>
        <color theme="1"/>
        <rFont val="Calibri"/>
        <family val="2"/>
        <scheme val="minor"/>
      </rPr>
      <t>Commercial buildings in Reference Scenario</t>
    </r>
    <r>
      <rPr>
        <sz val="10"/>
        <color theme="1"/>
        <rFont val="Calibri"/>
        <family val="2"/>
        <scheme val="minor"/>
      </rPr>
      <t>, in billions of Btu, in the Windham Region.</t>
    </r>
  </si>
  <si>
    <r>
      <rPr>
        <sz val="12"/>
        <color theme="1"/>
        <rFont val="Calibri"/>
        <family val="2"/>
        <scheme val="minor"/>
      </rPr>
      <t xml:space="preserve">Total non-electric energy consumed by </t>
    </r>
    <r>
      <rPr>
        <b/>
        <sz val="12"/>
        <color theme="1"/>
        <rFont val="Calibri"/>
        <family val="2"/>
        <scheme val="minor"/>
      </rPr>
      <t>Commercial buildings in the 90x50 Scenario</t>
    </r>
    <r>
      <rPr>
        <sz val="10"/>
        <color theme="1"/>
        <rFont val="Calibri"/>
        <family val="2"/>
        <scheme val="minor"/>
      </rPr>
      <t>, in billions of Btu, in the Windham Region.</t>
    </r>
  </si>
  <si>
    <t># of Businesses</t>
  </si>
  <si>
    <t>1. Adjustment made to convert above row to millions of Btu.</t>
  </si>
  <si>
    <t>2. Total consumption of electricity by Commercial building in Reference Scenario, in millions of Btu, for the Windham Region.</t>
  </si>
  <si>
    <t>4. This is an adjustment made to compensate for the superior efficiency of heat pump technology compared to combustion based heating technology. It assumes moderate increases in equipment efficiency over time i.e. coefficient of performance.</t>
  </si>
  <si>
    <t>5. Adjustment made to convert above row to millions of Btu.</t>
  </si>
  <si>
    <t>6. Total consumption of electricity by Commercial building in 90x50 Scenario, in millions of Btu</t>
  </si>
  <si>
    <t>7. Department estimate of Commercial consumption of heat pump electricity, in millions of Btu</t>
  </si>
  <si>
    <t>8. This is an adjustment made to compensate for the superior efficiency of heat pump technology compared to combustion based heating technology. It assumes moderate increases in equipment efficiency over time i.e. coefficient of performance.</t>
  </si>
  <si>
    <t>9. Total heat energy saved through weatherization of Commercial buildings, in Windham Region.</t>
  </si>
  <si>
    <t xml:space="preserve">3. This is a DPS methodology and estimates the portion of the regional Commercial electricity consumption attributable to Heat Pumps in the Reference Scenario, in millions of Btu. It assumes that the heat pump share of electricity consumption rises to 2% by 2050. </t>
  </si>
  <si>
    <t>This is a multiplier, given by DPS methodology, to move from Btu of energy saved to number of areas businesses weatherized.</t>
  </si>
  <si>
    <t>Enter a projection of the total number of Commercial establishments in the region by 2050 (same as per population, it is safe to assume there won't be a significant change in the number of businesses in Windham Region over the years. The numbers in this row can be changed if there is reason to).</t>
  </si>
  <si>
    <r>
      <rPr>
        <b/>
        <sz val="11"/>
        <color theme="1"/>
        <rFont val="Calibri"/>
        <family val="2"/>
        <scheme val="minor"/>
      </rPr>
      <t>Residential thermal</t>
    </r>
    <r>
      <rPr>
        <sz val="11"/>
        <color theme="1"/>
        <rFont val="Calibri"/>
        <family val="2"/>
        <scheme val="minor"/>
      </rPr>
      <t xml:space="preserve"> (increased efficiency and conservation):
Percent of municipal households to be weatherized over benchmark years to meet efficiency targets.</t>
    </r>
  </si>
  <si>
    <r>
      <rPr>
        <b/>
        <sz val="11"/>
        <color theme="1"/>
        <rFont val="Calibri"/>
        <family val="2"/>
        <scheme val="minor"/>
      </rPr>
      <t xml:space="preserve">Commercial thermal </t>
    </r>
    <r>
      <rPr>
        <sz val="11"/>
        <color theme="1"/>
        <rFont val="Calibri"/>
        <family val="2"/>
        <scheme val="minor"/>
      </rPr>
      <t>(increased efficiency and conservation):
Percent of commercial establishments to be weatherized over benchmark years to meet efficiency targets.</t>
    </r>
  </si>
  <si>
    <r>
      <rPr>
        <b/>
        <sz val="11"/>
        <color theme="1"/>
        <rFont val="Calibri"/>
        <family val="2"/>
        <scheme val="minor"/>
      </rPr>
      <t xml:space="preserve">Commercial thermal </t>
    </r>
    <r>
      <rPr>
        <sz val="11"/>
        <color theme="1"/>
        <rFont val="Calibri"/>
        <family val="2"/>
        <scheme val="minor"/>
      </rPr>
      <t>(increased efficiency and conservation):
Estimated number of commercial establishments to be weatherized.</t>
    </r>
  </si>
  <si>
    <t xml:space="preserve">10. This formula computes a projection of the number of area businesses weatherized, based on the value inputed above. It will be higher or lower depending on the assumption of "typical" weatherization savings. </t>
  </si>
  <si>
    <t>12. This is the number of businesses that would need to be weatherized in town, over the benchmark years, to meet the LEAP efficiency targets.</t>
  </si>
  <si>
    <t>Enter the number of businesses in town, over the benchmark years, (again, no growth anticipated).</t>
  </si>
  <si>
    <t xml:space="preserve">11. This formula computes the estimated share of area businesses weatherized by each year based on the values inputed above.  </t>
  </si>
  <si>
    <r>
      <rPr>
        <b/>
        <sz val="14"/>
        <color theme="1"/>
        <rFont val="Calibri"/>
        <family val="2"/>
        <scheme val="minor"/>
      </rPr>
      <t>TARGETS FOR ENERGY EFFICIENCY ACROSS SECTORS</t>
    </r>
    <r>
      <rPr>
        <sz val="11"/>
        <color theme="1"/>
        <rFont val="Calibri"/>
        <family val="2"/>
        <scheme val="minor"/>
      </rPr>
      <t xml:space="preserve">
This sheet shows how the WRC was able to arrive at efficiency and weatherization targets for its member municipalities. 
The methodologies below are adapted from guidance from the Department of Public Service, given to the RPC's  for Act 174 planning. There are several instances where multipliers exist in the following formulas and calculations that may not be intuitive, but they yield results that can reasonably be placed within a town's context. Again, the data is summarized (more legibly) in the "DATA SUMMARY" sheet. 
Generally speaking, the calculations below take the Windham Region's trends for energy efficiency between the LEAP's Reference and 90x50 Scenarios, and then extrapolates those percent savings to its towns. Those extrapolations are based on either a town's share of the regional population, number of businesses, or electricity use, depending on the estimation being made.</t>
    </r>
  </si>
  <si>
    <t>Electric Efficiency</t>
  </si>
  <si>
    <t>Reference Scenario Electric Consumption by Branch (thousand MWh)</t>
  </si>
  <si>
    <t>90x50 Scenario Electric Consumption by Branch (thousand MWh)</t>
  </si>
  <si>
    <t>This is the regional electricity demand in the 90x50 Scenario, in thousand MWh.</t>
  </si>
  <si>
    <t>1. This is the regional electricity demand in the Reference Scenario, in thousand MWh.</t>
  </si>
  <si>
    <t>This is the conversion to Kwh.</t>
  </si>
  <si>
    <t>This is the amount saved between the two scenarios, in MWh.</t>
  </si>
  <si>
    <r>
      <rPr>
        <b/>
        <sz val="11"/>
        <color theme="1"/>
        <rFont val="Calibri"/>
        <family val="2"/>
        <scheme val="minor"/>
      </rPr>
      <t>Electricity</t>
    </r>
    <r>
      <rPr>
        <sz val="11"/>
        <color theme="1"/>
        <rFont val="Calibri"/>
        <family val="2"/>
        <scheme val="minor"/>
      </rPr>
      <t>:
Number of kilo-watt hours to be conserved, annually, over the target years.</t>
    </r>
  </si>
  <si>
    <r>
      <rPr>
        <b/>
        <sz val="11"/>
        <color theme="1"/>
        <rFont val="Calibri"/>
        <family val="2"/>
        <scheme val="minor"/>
      </rPr>
      <t>Electricity</t>
    </r>
    <r>
      <rPr>
        <sz val="11"/>
        <color theme="1"/>
        <rFont val="Calibri"/>
        <family val="2"/>
        <scheme val="minor"/>
      </rPr>
      <t>:
Percentage of number of homes and buildings that will have been upgraded with electric efficiency improvements.</t>
    </r>
  </si>
  <si>
    <r>
      <t xml:space="preserve">Fuel Switching Targets 
</t>
    </r>
    <r>
      <rPr>
        <sz val="12"/>
        <color theme="1"/>
        <rFont val="Calibri"/>
        <family val="2"/>
        <scheme val="minor"/>
      </rPr>
      <t>(Standards 5C and 5D), Sheet "2. Workspace- Fuel Targets"</t>
    </r>
  </si>
  <si>
    <t>This is the amount, in KWh, to be conserved in the town to meet efficiency targets.</t>
  </si>
  <si>
    <t xml:space="preserve">This is the percent of electric efficiency needed for targets to be accomplished. </t>
  </si>
  <si>
    <t>New Heat Pumps</t>
  </si>
  <si>
    <t>New Efficient Wood Systems</t>
  </si>
  <si>
    <t>http://fpr.vermont.gov/sites/fpr/files/About_the_Department/Library/Library/FINAL_2015%20Residential%20Fuel%20Assessment%20Report.pdf</t>
  </si>
  <si>
    <t>Wood Systems Units Conversions</t>
  </si>
  <si>
    <t>VT homes that heat with wood burn an average of 4.8 cords/year.</t>
  </si>
  <si>
    <t>VT homes that heat with wood pellet burners consume an average of 4.4 tons/year.</t>
  </si>
  <si>
    <t>One ton of wood pellets yield about 16.5 million Btu.</t>
  </si>
  <si>
    <t>Amount of cords of wood burned for residences, regionally.</t>
  </si>
  <si>
    <t>This is the regional amount of energy consumed by residential cordwood in the Reference scenario, in Btu.</t>
  </si>
  <si>
    <t>Estimated number of wood stoves for residences, regionally.</t>
  </si>
  <si>
    <t>One cord of wood yields about 20 million Btu.</t>
  </si>
  <si>
    <t>Estimated number of wood stoves for residences, in town, in the Reference scenario.</t>
  </si>
  <si>
    <t>This is the regional amount of energy consumed by residential wood pellets in the Reference scenario, in Btu.</t>
  </si>
  <si>
    <t>Number of tons of wood pellets burned for residences, regionally.</t>
  </si>
  <si>
    <t>Estimated number of wood pellet burners for residences, regionally.</t>
  </si>
  <si>
    <t>This is the regional amount of energy consumed by commercial wood systems in the Reference scenario, in Btu.</t>
  </si>
  <si>
    <t>Amount of cords of wood burned for businesses, regionally.</t>
  </si>
  <si>
    <t>Estimated number of wood stoves for businesses, regionally.</t>
  </si>
  <si>
    <t>Estimated number of wood pellet burners for residences, in town, in the Reference scenario.</t>
  </si>
  <si>
    <t>Estimated number of wood stoves for businesses, in town, in the Reference scenario.</t>
  </si>
  <si>
    <t>% regional businesses</t>
  </si>
  <si>
    <t>Total number of wood burning units in town, in Reference scenario.</t>
  </si>
  <si>
    <t>This is the regional amount of energy consumed by residential cordwood in the 90x50 scenario, in Btu.</t>
  </si>
  <si>
    <t>Estimated number of wood stoves for residences, in town, in the 90x50 scenario.</t>
  </si>
  <si>
    <t>Estimated number of wood pellet burners for residences, in town, in the 90x50 scenario.</t>
  </si>
  <si>
    <t>This is the regional amount of energy consumed by commercial wood systems in the 90x50 scenario, in Btu.</t>
  </si>
  <si>
    <t>This is the regional amount of energy consumed by residential wood pellets in the 90x50 scenario, in Btu.</t>
  </si>
  <si>
    <t>Estimated number of wood stoves for businesses, in town, in the 90x50 scenario.</t>
  </si>
  <si>
    <t>Total number of wood burning units in town, in 90x50 scenario.</t>
  </si>
  <si>
    <t>Change in number of wood burning units, from Reference to 90x50 Scenario.</t>
  </si>
  <si>
    <r>
      <rPr>
        <b/>
        <sz val="14"/>
        <color theme="1"/>
        <rFont val="Calibri"/>
        <family val="2"/>
        <scheme val="minor"/>
      </rPr>
      <t>TARGETS FOR FUEL SWITCHING ACROSS SECTORS</t>
    </r>
    <r>
      <rPr>
        <sz val="11"/>
        <color theme="1"/>
        <rFont val="Calibri"/>
        <family val="2"/>
        <scheme val="minor"/>
      </rPr>
      <t xml:space="preserve">
This sheet shows how the WRC was able to arrive at fuel conversion targets for its member municipalities. 
The methodologies below are adapted from guidance from the Department of Public Service, given to the RPC's  for Act 174 planning. Again, the data is summarized (more legibly) in the "DATA SUMMARY" sheet. 
In some cases, the fuel conversions proposed below may be counter-intuitive to planners. For example, the LEAP scenario actually models a decrease in the number of wood stoves in both towns and the region, which reflects a larger trend toward conversation of energy and the increased weatherization of homes and businesses. Town planners may choose to use this data as a way to promote more robust energy conservation measures, or could instead promote the increased use of alternative fuel sources. </t>
    </r>
  </si>
  <si>
    <r>
      <t xml:space="preserve">Residential and Thermal Fuel:
Estimated </t>
    </r>
    <r>
      <rPr>
        <b/>
        <sz val="11"/>
        <color theme="1"/>
        <rFont val="Calibri"/>
        <family val="2"/>
        <scheme val="minor"/>
      </rPr>
      <t>new heat pumps</t>
    </r>
    <r>
      <rPr>
        <sz val="11"/>
        <color theme="1"/>
        <rFont val="Calibri"/>
        <family val="2"/>
        <scheme val="minor"/>
      </rPr>
      <t xml:space="preserve"> (in units).</t>
    </r>
  </si>
  <si>
    <t>This is the regional amount of energy consumed by residential heat pumps in the Reference scenario, in Btu.</t>
  </si>
  <si>
    <t>Amount of Kwh's consumed per year, regionally, for heat pumps (3,412 Kwh/BTU).</t>
  </si>
  <si>
    <t>https://www.efficiencyvermont.com/tips-tools/tools/electric-usage-chart-tool</t>
  </si>
  <si>
    <t>Estimated number of heat pumps (assume cold climate heat pump, with 7500 kWh/year use rate), in region.</t>
  </si>
  <si>
    <t>Estimated number of heat pumps in town, for Reference scenario.</t>
  </si>
  <si>
    <t>This is the regional amount of energy consumed by residential heat pumps in the 90x50 scenario, in Btu.</t>
  </si>
  <si>
    <t>Estimated number of heat pumps in town, for 90x50 scenario.</t>
  </si>
  <si>
    <r>
      <t xml:space="preserve">Residential and Commercial Thermal Fuel:
Estimated </t>
    </r>
    <r>
      <rPr>
        <b/>
        <sz val="11"/>
        <color theme="1"/>
        <rFont val="Calibri"/>
        <family val="2"/>
        <scheme val="minor"/>
      </rPr>
      <t>new wood pellet systems only</t>
    </r>
    <r>
      <rPr>
        <sz val="11"/>
        <color theme="1"/>
        <rFont val="Calibri"/>
        <family val="2"/>
        <scheme val="minor"/>
      </rPr>
      <t xml:space="preserve"> (in units) in the LEAP 90x50 scenario.</t>
    </r>
  </si>
  <si>
    <t>Transition to Electric Vehicles</t>
  </si>
  <si>
    <t>This is the regional amount of energy consumed by light-duty electric vehicles s in the 90x50 scenario, in Btu.</t>
  </si>
  <si>
    <t>Estimated number of miles per Kwh in electric vehicles (assume efficiency improvements).</t>
  </si>
  <si>
    <t>Estimated number of miles driven with electric vehicles annually, in region, in 90x50 scenario.</t>
  </si>
  <si>
    <t>Estimated number of electric cars, in region (based of Vtrans average data of 11,356 miles driven per car per year in the state).</t>
  </si>
  <si>
    <t>Estimated number of new electric cars, in town (based of percent regional population).</t>
  </si>
  <si>
    <t>Amount of Kwh's consumed per year, regionally, for electric vehicles (3,412 Btu / Kwh).</t>
  </si>
  <si>
    <t>Estimated number of  biodiesel vehicles, in town (based of percent regional population).</t>
  </si>
  <si>
    <t>Transition to Biodiesel Fuel</t>
  </si>
  <si>
    <t>Number of gallons of biodiesel consumed per year, regionally (127,595 Btu/ gallon biodiesel).</t>
  </si>
  <si>
    <t>Estimated number of miles per gallon (assume efficiency improvements).</t>
  </si>
  <si>
    <t>Estimated number of miles driven with biodiesel vehicles annually, in region, in 90x50 scenario.</t>
  </si>
  <si>
    <t>Estimated number of biodiesel vehicles, in region (based of Vtrans average data of 11,356 miles driven per car per year in the state).</t>
  </si>
  <si>
    <r>
      <t xml:space="preserve">Transportation Fuel:
Estimated number of </t>
    </r>
    <r>
      <rPr>
        <b/>
        <sz val="11"/>
        <color theme="1"/>
        <rFont val="Calibri"/>
        <family val="2"/>
        <scheme val="minor"/>
      </rPr>
      <t>new electric vehicles, in town.</t>
    </r>
  </si>
  <si>
    <r>
      <t xml:space="preserve">Transportation Fuel:
Estimated number of </t>
    </r>
    <r>
      <rPr>
        <b/>
        <sz val="11"/>
        <color theme="1"/>
        <rFont val="Calibri"/>
        <family val="2"/>
        <scheme val="minor"/>
      </rPr>
      <t>biodiesel-powered vehicles, in town.</t>
    </r>
  </si>
  <si>
    <r>
      <t xml:space="preserve">Efficiency Targets at Benchmark Years
</t>
    </r>
    <r>
      <rPr>
        <sz val="12"/>
        <color theme="1"/>
        <rFont val="Calibri"/>
        <family val="2"/>
        <scheme val="minor"/>
      </rPr>
      <t>(Standards 5B and 5E), Sheet "1. Workspace- Efficiency"</t>
    </r>
  </si>
  <si>
    <r>
      <t xml:space="preserve">Use of Renewable Energy 
</t>
    </r>
    <r>
      <rPr>
        <sz val="12"/>
        <color theme="1"/>
        <rFont val="Calibri"/>
        <family val="2"/>
        <scheme val="minor"/>
      </rPr>
      <t>(Standard 5B), Sheet "3. Workspace- Renewables"</t>
    </r>
  </si>
  <si>
    <r>
      <rPr>
        <b/>
        <sz val="14"/>
        <color theme="1"/>
        <rFont val="Calibri"/>
        <family val="2"/>
        <scheme val="minor"/>
      </rPr>
      <t>CHARTS FOR PLANS</t>
    </r>
    <r>
      <rPr>
        <sz val="11"/>
        <color theme="1"/>
        <rFont val="Calibri"/>
        <family val="2"/>
        <scheme val="minor"/>
      </rPr>
      <t xml:space="preserve">
The information shown in this sheet see how the LEAP model would translate to each of the municipalities, based on the percent of a town's population.
This is relevant and potentially useful information for the municipality,</t>
    </r>
    <r>
      <rPr>
        <sz val="12"/>
        <color theme="1"/>
        <rFont val="Calibri"/>
        <family val="2"/>
        <scheme val="minor"/>
      </rPr>
      <t xml:space="preserve"> </t>
    </r>
    <r>
      <rPr>
        <b/>
        <sz val="12"/>
        <color theme="1"/>
        <rFont val="Calibri"/>
        <family val="2"/>
        <scheme val="minor"/>
      </rPr>
      <t>but this information does not directly address a planning standard for the enhanced energy plan.</t>
    </r>
    <r>
      <rPr>
        <b/>
        <sz val="11"/>
        <color theme="1"/>
        <rFont val="Calibri"/>
        <family val="2"/>
        <scheme val="minor"/>
      </rPr>
      <t xml:space="preserve"> </t>
    </r>
    <r>
      <rPr>
        <sz val="11"/>
        <color theme="1"/>
        <rFont val="Calibri"/>
        <family val="2"/>
        <scheme val="minor"/>
      </rPr>
      <t xml:space="preserve">Town planners may choose to use this information to help inform their town's narrative, if helpful. The bar graphs may be copied/pasted right into the town's energy element.
</t>
    </r>
  </si>
  <si>
    <r>
      <rPr>
        <b/>
        <sz val="14"/>
        <color theme="1"/>
        <rFont val="Calibri"/>
        <family val="2"/>
        <scheme val="minor"/>
      </rPr>
      <t>TOWN LEAP DATA</t>
    </r>
    <r>
      <rPr>
        <sz val="11"/>
        <color theme="1"/>
        <rFont val="Calibri"/>
        <family val="2"/>
        <scheme val="minor"/>
      </rPr>
      <t xml:space="preserve">
The information shown in this sheet see how the LEAP model would translate to each of the municipalities, based on the percent of a town's population.
This is data is used in the formulas and calculations for interpreting regional LEAP data into relevant figures for municipalities. There is no action needed to be taken on this sheet.
</t>
    </r>
  </si>
  <si>
    <r>
      <rPr>
        <b/>
        <sz val="14"/>
        <color theme="1"/>
        <rFont val="Calibri"/>
        <family val="2"/>
        <scheme val="minor"/>
      </rPr>
      <t>TARGETS FOR USE OF RENEWABLE ACROSS ALL SECTORS</t>
    </r>
    <r>
      <rPr>
        <sz val="11"/>
        <color theme="1"/>
        <rFont val="Calibri"/>
        <family val="2"/>
        <scheme val="minor"/>
      </rPr>
      <t xml:space="preserve">
This sheet shows how the WRC was able to arrive at fuel conversion targets for its member municipalities. 
The methodologies below are adapted from guidance from the Department of Public Service, given to the RPC's  for Act 174 planning. Again, the data is summarized (more legibly) in the "DATA SUMMARY" sheet. 
In some cases, the fuel conversions proposed below may be counter-intuitive to planners. For example, the LEAP scenario actually models a decrease in the number of wood stoves in both towns and the region, which reflects a larger trend toward conversation of energy and the increased weatherization of homes and businesses. Town planners may choose to use this data as a way to promote more robust energy conservation measures, or could instead promote the increased use of alternative fuel sources. </t>
    </r>
  </si>
  <si>
    <t>Renewables in the Transportation Sector</t>
  </si>
  <si>
    <t>This is the total amount of energy consumed in the transportation sector.</t>
  </si>
  <si>
    <t>This is the percent renewable energy in the transportation system, for the region and the municipalities.</t>
  </si>
  <si>
    <t>Renewables in the Heating Sector</t>
  </si>
  <si>
    <t>This is the regional amount of energy consumed by renewable energy in the transportation sector in the 90x50 scenario, in billion Btu.</t>
  </si>
  <si>
    <t>This is the total amount of energy consumed in the heating sector.</t>
  </si>
  <si>
    <t>This is the regional amount of energy consumed by renewable energy in the heating sector  in the 90x50 scenario, in billion Btu.</t>
  </si>
  <si>
    <t>This is the percent renewable energy used for heating, for the region and the municipalities.</t>
  </si>
  <si>
    <t>Transportation (as a percentage of total Btu's consumed)</t>
  </si>
  <si>
    <t>Heating (as a percentage of total Btu's consumed)</t>
  </si>
  <si>
    <t>Electricity (MWh to be generated in town)</t>
  </si>
  <si>
    <t>See the workbook "Targets_Generation_Town.xls" that was also given as municipal technical assistance. It provides target renewable generation over the benchmark years, in MWh, that can be used here.</t>
  </si>
  <si>
    <t>This is the percent of the regional electricity consumed by the town.</t>
  </si>
  <si>
    <r>
      <t xml:space="preserve">Residential and Commercial Thermal Fuel:
Estimated </t>
    </r>
    <r>
      <rPr>
        <b/>
        <sz val="11"/>
        <color theme="1"/>
        <rFont val="Calibri"/>
        <family val="2"/>
        <scheme val="minor"/>
      </rPr>
      <t xml:space="preserve">new efficient wood heat systems overall </t>
    </r>
    <r>
      <rPr>
        <sz val="11"/>
        <color theme="1"/>
        <rFont val="Calibri"/>
        <family val="2"/>
        <scheme val="minor"/>
      </rPr>
      <t xml:space="preserve">(in units) in the LEAP 90x50 scenario (this includes both wood stoves and wood pellet burners for homes and businesses).
</t>
    </r>
    <r>
      <rPr>
        <i/>
        <sz val="11"/>
        <color theme="1"/>
        <rFont val="Calibri"/>
        <family val="2"/>
        <scheme val="minor"/>
      </rPr>
      <t>This number may decline over the target years, which indicates an overall trend toward energy conversation and building weatherizaing, which reduces the demand on heating systems.</t>
    </r>
  </si>
  <si>
    <t xml:space="preserve">Copy and paste the values for your town from "B.Data- Town Info," Columns D-AQ here. </t>
  </si>
</sst>
</file>

<file path=xl/styles.xml><?xml version="1.0" encoding="utf-8"?>
<styleSheet xmlns="http://schemas.openxmlformats.org/spreadsheetml/2006/main">
  <numFmts count="3">
    <numFmt numFmtId="164" formatCode="0.0"/>
    <numFmt numFmtId="165" formatCode="#,##0.0"/>
    <numFmt numFmtId="166" formatCode="0.0%"/>
  </numFmts>
  <fonts count="33">
    <font>
      <sz val="11"/>
      <color theme="1"/>
      <name val="Calibri"/>
      <family val="2"/>
      <scheme val="minor"/>
    </font>
    <font>
      <b/>
      <sz val="11"/>
      <color theme="1"/>
      <name val="Calibri"/>
      <family val="2"/>
      <scheme val="minor"/>
    </font>
    <font>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i/>
      <sz val="11"/>
      <color theme="1"/>
      <name val="Calibri"/>
      <family val="2"/>
      <scheme val="minor"/>
    </font>
    <font>
      <sz val="12"/>
      <color theme="1"/>
      <name val="Calibri"/>
      <family val="2"/>
      <charset val="128"/>
      <scheme val="minor"/>
    </font>
    <font>
      <i/>
      <sz val="12"/>
      <color theme="1"/>
      <name val="Calibri"/>
      <family val="2"/>
      <scheme val="minor"/>
    </font>
    <font>
      <b/>
      <i/>
      <sz val="12"/>
      <color theme="1"/>
      <name val="Calibri"/>
      <family val="2"/>
      <scheme val="minor"/>
    </font>
    <font>
      <i/>
      <sz val="12"/>
      <color rgb="FF7F7F7F"/>
      <name val="Calibri"/>
      <family val="2"/>
      <scheme val="minor"/>
    </font>
    <font>
      <sz val="9"/>
      <color theme="1"/>
      <name val="Calibri"/>
      <family val="2"/>
      <scheme val="minor"/>
    </font>
    <font>
      <sz val="10"/>
      <color theme="1"/>
      <name val="Calibri"/>
      <family val="2"/>
      <scheme val="minor"/>
    </font>
    <font>
      <sz val="9"/>
      <color indexed="81"/>
      <name val="Tahoma"/>
      <family val="2"/>
    </font>
    <font>
      <b/>
      <sz val="9"/>
      <color indexed="81"/>
      <name val="Tahoma"/>
      <family val="2"/>
    </font>
    <font>
      <b/>
      <sz val="12"/>
      <color theme="0"/>
      <name val="Calibri"/>
      <family val="2"/>
      <scheme val="minor"/>
    </font>
    <font>
      <b/>
      <sz val="10"/>
      <color theme="1"/>
      <name val="Calibri"/>
      <family val="2"/>
      <scheme val="minor"/>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2"/>
        <bgColor indexed="64"/>
      </patternFill>
    </fill>
    <fill>
      <patternFill patternType="solid">
        <fgColor theme="9" tint="0.59999389629810485"/>
        <bgColor indexed="64"/>
      </patternFill>
    </fill>
    <fill>
      <patternFill patternType="solid">
        <fgColor rgb="FF7030A0"/>
        <bgColor indexed="64"/>
      </patternFill>
    </fill>
    <fill>
      <patternFill patternType="solid">
        <fgColor rgb="FFC0000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2" tint="-9.9978637043366805E-2"/>
        <bgColor indexed="64"/>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rgb="FF7F7F7F"/>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style="thin">
        <color auto="1"/>
      </bottom>
      <diagonal/>
    </border>
    <border>
      <left style="thin">
        <color indexed="64"/>
      </left>
      <right style="medium">
        <color indexed="64"/>
      </right>
      <top style="thin">
        <color auto="1"/>
      </top>
      <bottom/>
      <diagonal/>
    </border>
    <border>
      <left style="thin">
        <color indexed="64"/>
      </left>
      <right style="medium">
        <color indexed="64"/>
      </right>
      <top/>
      <bottom style="thin">
        <color indexed="64"/>
      </bottom>
      <diagonal/>
    </border>
  </borders>
  <cellStyleXfs count="44">
    <xf numFmtId="0" fontId="0" fillId="0" borderId="0"/>
    <xf numFmtId="0" fontId="3" fillId="0" borderId="0" applyNumberFormat="0" applyFill="0" applyBorder="0" applyAlignment="0" applyProtection="0"/>
    <xf numFmtId="0" fontId="4" fillId="0" borderId="13" applyNumberFormat="0" applyFill="0" applyAlignment="0" applyProtection="0"/>
    <xf numFmtId="0" fontId="5" fillId="0" borderId="14" applyNumberFormat="0" applyFill="0" applyAlignment="0" applyProtection="0"/>
    <xf numFmtId="0" fontId="6" fillId="0" borderId="15"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16" applyNumberFormat="0" applyAlignment="0" applyProtection="0"/>
    <xf numFmtId="0" fontId="11" fillId="6" borderId="17" applyNumberFormat="0" applyAlignment="0" applyProtection="0"/>
    <xf numFmtId="0" fontId="12" fillId="6" borderId="16" applyNumberFormat="0" applyAlignment="0" applyProtection="0"/>
    <xf numFmtId="0" fontId="13" fillId="0" borderId="18" applyNumberFormat="0" applyFill="0" applyAlignment="0" applyProtection="0"/>
    <xf numFmtId="0" fontId="14" fillId="7" borderId="19" applyNumberFormat="0" applyAlignment="0" applyProtection="0"/>
    <xf numFmtId="0" fontId="15" fillId="0" borderId="0" applyNumberFormat="0" applyFill="0" applyBorder="0" applyAlignment="0" applyProtection="0"/>
    <xf numFmtId="0" fontId="2" fillId="8" borderId="20" applyNumberFormat="0" applyFont="0" applyAlignment="0" applyProtection="0"/>
    <xf numFmtId="0" fontId="16" fillId="0" borderId="0" applyNumberFormat="0" applyFill="0" applyBorder="0" applyAlignment="0" applyProtection="0"/>
    <xf numFmtId="0" fontId="1" fillId="0" borderId="21"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18" fillId="0" borderId="0"/>
    <xf numFmtId="9" fontId="18" fillId="0" borderId="0" applyFont="0" applyFill="0" applyBorder="0" applyAlignment="0" applyProtection="0"/>
  </cellStyleXfs>
  <cellXfs count="432">
    <xf numFmtId="0" fontId="0" fillId="0" borderId="0" xfId="0"/>
    <xf numFmtId="0" fontId="0" fillId="0" borderId="4" xfId="0" applyBorder="1"/>
    <xf numFmtId="0" fontId="0" fillId="0" borderId="0" xfId="0" applyBorder="1"/>
    <xf numFmtId="0" fontId="0" fillId="0" borderId="5" xfId="0" applyBorder="1"/>
    <xf numFmtId="3" fontId="0" fillId="0" borderId="0" xfId="0" applyNumberFormat="1" applyBorder="1"/>
    <xf numFmtId="3" fontId="0" fillId="0" borderId="5" xfId="0" applyNumberFormat="1" applyBorder="1"/>
    <xf numFmtId="0" fontId="0" fillId="0" borderId="6" xfId="0" applyBorder="1"/>
    <xf numFmtId="0" fontId="0" fillId="0" borderId="9" xfId="0" applyBorder="1"/>
    <xf numFmtId="3" fontId="0" fillId="0" borderId="10" xfId="0" applyNumberFormat="1" applyBorder="1"/>
    <xf numFmtId="3" fontId="0" fillId="0" borderId="11" xfId="0" applyNumberFormat="1" applyBorder="1"/>
    <xf numFmtId="0" fontId="0" fillId="0" borderId="0" xfId="0" applyBorder="1" applyAlignment="1">
      <alignment horizontal="center" wrapText="1"/>
    </xf>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0" xfId="0" applyFont="1" applyBorder="1"/>
    <xf numFmtId="0" fontId="1" fillId="0" borderId="5" xfId="0" applyFont="1" applyBorder="1"/>
    <xf numFmtId="0" fontId="1" fillId="0" borderId="12" xfId="0" applyFont="1" applyBorder="1"/>
    <xf numFmtId="3" fontId="0" fillId="0" borderId="7" xfId="0" applyNumberFormat="1" applyBorder="1"/>
    <xf numFmtId="3" fontId="0" fillId="0" borderId="8" xfId="0" applyNumberFormat="1" applyBorder="1"/>
    <xf numFmtId="3" fontId="0" fillId="0" borderId="12" xfId="0" applyNumberFormat="1" applyBorder="1"/>
    <xf numFmtId="0" fontId="0" fillId="0" borderId="0" xfId="0" applyAlignment="1">
      <alignment horizontal="center" vertical="center"/>
    </xf>
    <xf numFmtId="0" fontId="0" fillId="36" borderId="9" xfId="0" applyFill="1" applyBorder="1" applyAlignment="1">
      <alignment horizontal="center" vertical="center"/>
    </xf>
    <xf numFmtId="0" fontId="0" fillId="36" borderId="10" xfId="0" applyFill="1" applyBorder="1" applyAlignment="1">
      <alignment horizontal="center" vertical="center"/>
    </xf>
    <xf numFmtId="0" fontId="0" fillId="36" borderId="11" xfId="0" applyFill="1" applyBorder="1" applyAlignment="1">
      <alignment horizontal="center" vertical="center"/>
    </xf>
    <xf numFmtId="0" fontId="0" fillId="40" borderId="9" xfId="0" applyFill="1" applyBorder="1" applyAlignment="1">
      <alignment horizontal="center" vertical="center"/>
    </xf>
    <xf numFmtId="0" fontId="0" fillId="40" borderId="10" xfId="0" applyFill="1" applyBorder="1" applyAlignment="1">
      <alignment horizontal="center" vertical="center"/>
    </xf>
    <xf numFmtId="0" fontId="0" fillId="40" borderId="11" xfId="0" applyFill="1" applyBorder="1" applyAlignment="1">
      <alignment horizontal="center" vertical="center"/>
    </xf>
    <xf numFmtId="0" fontId="0" fillId="42" borderId="9" xfId="0" applyFill="1" applyBorder="1" applyAlignment="1">
      <alignment horizontal="center" vertical="center"/>
    </xf>
    <xf numFmtId="0" fontId="0" fillId="42" borderId="10" xfId="0" applyFill="1" applyBorder="1" applyAlignment="1">
      <alignment horizontal="center" vertical="center"/>
    </xf>
    <xf numFmtId="0" fontId="0" fillId="42" borderId="11" xfId="0" applyFill="1" applyBorder="1" applyAlignment="1">
      <alignment horizontal="center" vertical="center"/>
    </xf>
    <xf numFmtId="0" fontId="0" fillId="36" borderId="3" xfId="0" applyFill="1" applyBorder="1" applyAlignment="1">
      <alignment horizontal="center" vertical="center"/>
    </xf>
    <xf numFmtId="0" fontId="0" fillId="38" borderId="1" xfId="0" applyFill="1" applyBorder="1" applyAlignment="1">
      <alignment horizontal="center" vertical="center"/>
    </xf>
    <xf numFmtId="0" fontId="0" fillId="40" borderId="1" xfId="0" applyFill="1" applyBorder="1" applyAlignment="1">
      <alignment horizontal="center" vertical="center"/>
    </xf>
    <xf numFmtId="10" fontId="0" fillId="0" borderId="0" xfId="0" applyNumberFormat="1" applyBorder="1" applyAlignment="1">
      <alignment horizontal="center"/>
    </xf>
    <xf numFmtId="2" fontId="0" fillId="0" borderId="1" xfId="0" applyNumberFormat="1" applyBorder="1"/>
    <xf numFmtId="164" fontId="0" fillId="0" borderId="8" xfId="0" applyNumberFormat="1" applyBorder="1"/>
    <xf numFmtId="0" fontId="0" fillId="37" borderId="2" xfId="0" applyFill="1" applyBorder="1" applyAlignment="1">
      <alignment horizontal="center" vertical="center"/>
    </xf>
    <xf numFmtId="0" fontId="0" fillId="36" borderId="2" xfId="0" applyFill="1" applyBorder="1" applyAlignment="1">
      <alignment horizontal="center" vertical="center"/>
    </xf>
    <xf numFmtId="10" fontId="0" fillId="0" borderId="0" xfId="0" applyNumberFormat="1" applyFill="1" applyBorder="1" applyAlignment="1">
      <alignment horizontal="center"/>
    </xf>
    <xf numFmtId="10" fontId="0" fillId="0" borderId="7" xfId="0" applyNumberFormat="1" applyBorder="1" applyAlignment="1">
      <alignment horizontal="center"/>
    </xf>
    <xf numFmtId="0" fontId="0" fillId="0" borderId="3" xfId="0" applyBorder="1"/>
    <xf numFmtId="0" fontId="0" fillId="37" borderId="1" xfId="0" applyFill="1" applyBorder="1" applyAlignment="1">
      <alignment horizontal="center" vertical="center"/>
    </xf>
    <xf numFmtId="0" fontId="0" fillId="36" borderId="1" xfId="0" applyFill="1" applyBorder="1" applyAlignment="1">
      <alignment horizontal="center" vertical="center"/>
    </xf>
    <xf numFmtId="0" fontId="0" fillId="38" borderId="3" xfId="0" applyFill="1" applyBorder="1" applyAlignment="1">
      <alignment horizontal="center" vertical="center"/>
    </xf>
    <xf numFmtId="10" fontId="0" fillId="0" borderId="24" xfId="0" applyNumberFormat="1" applyBorder="1" applyAlignment="1">
      <alignment horizontal="center"/>
    </xf>
    <xf numFmtId="0" fontId="0" fillId="0" borderId="2" xfId="0" applyBorder="1"/>
    <xf numFmtId="0" fontId="0" fillId="40" borderId="3" xfId="0" applyFill="1" applyBorder="1" applyAlignment="1">
      <alignment horizontal="center" vertical="center"/>
    </xf>
    <xf numFmtId="2" fontId="0" fillId="0" borderId="2" xfId="0" applyNumberFormat="1" applyBorder="1"/>
    <xf numFmtId="0" fontId="0" fillId="0" borderId="23" xfId="0" applyBorder="1" applyAlignment="1">
      <alignment horizontal="center" vertical="center"/>
    </xf>
    <xf numFmtId="164" fontId="0" fillId="0" borderId="7" xfId="0" applyNumberFormat="1" applyBorder="1"/>
    <xf numFmtId="0" fontId="0" fillId="40" borderId="2" xfId="0" applyFill="1" applyBorder="1" applyAlignment="1">
      <alignment horizontal="center" vertical="center"/>
    </xf>
    <xf numFmtId="0" fontId="0" fillId="0" borderId="22" xfId="0" applyBorder="1" applyAlignment="1">
      <alignment horizontal="center" vertical="center" wrapText="1"/>
    </xf>
    <xf numFmtId="2" fontId="0" fillId="0" borderId="3" xfId="0" applyNumberFormat="1" applyBorder="1"/>
    <xf numFmtId="164" fontId="0" fillId="0" borderId="6" xfId="0" applyNumberFormat="1" applyBorder="1"/>
    <xf numFmtId="0" fontId="0" fillId="0" borderId="0" xfId="0"/>
    <xf numFmtId="0" fontId="0" fillId="0" borderId="1" xfId="0" applyBorder="1"/>
    <xf numFmtId="0" fontId="0" fillId="38" borderId="2" xfId="0" applyFill="1" applyBorder="1" applyAlignment="1">
      <alignment horizontal="center" vertical="center"/>
    </xf>
    <xf numFmtId="0" fontId="0" fillId="0" borderId="0" xfId="0"/>
    <xf numFmtId="0" fontId="0" fillId="0" borderId="0" xfId="0" applyBorder="1"/>
    <xf numFmtId="0" fontId="0" fillId="0" borderId="4" xfId="0" applyBorder="1"/>
    <xf numFmtId="0" fontId="0" fillId="0" borderId="6" xfId="0" applyBorder="1"/>
    <xf numFmtId="0" fontId="0" fillId="0" borderId="0" xfId="0" applyBorder="1" applyAlignment="1">
      <alignment horizontal="center"/>
    </xf>
    <xf numFmtId="0" fontId="0" fillId="0" borderId="7" xfId="0" applyBorder="1"/>
    <xf numFmtId="0" fontId="0" fillId="0" borderId="5" xfId="0" applyBorder="1"/>
    <xf numFmtId="3" fontId="0" fillId="0" borderId="8" xfId="0" applyNumberFormat="1" applyBorder="1"/>
    <xf numFmtId="0" fontId="0" fillId="0" borderId="0" xfId="0" applyFill="1"/>
    <xf numFmtId="3" fontId="0" fillId="0" borderId="6" xfId="0" applyNumberFormat="1" applyBorder="1"/>
    <xf numFmtId="1" fontId="0" fillId="0" borderId="4" xfId="0" applyNumberFormat="1" applyBorder="1"/>
    <xf numFmtId="1" fontId="0" fillId="0" borderId="6" xfId="0" applyNumberFormat="1" applyBorder="1"/>
    <xf numFmtId="0" fontId="0" fillId="0" borderId="1" xfId="0" applyBorder="1" applyAlignment="1">
      <alignment horizontal="center" vertical="center"/>
    </xf>
    <xf numFmtId="0" fontId="0" fillId="0" borderId="8" xfId="0" applyBorder="1"/>
    <xf numFmtId="0" fontId="0" fillId="37" borderId="3" xfId="0" applyFill="1" applyBorder="1" applyAlignment="1">
      <alignment horizontal="center" vertical="center"/>
    </xf>
    <xf numFmtId="0" fontId="0" fillId="42" borderId="1" xfId="0" applyFill="1" applyBorder="1" applyAlignment="1">
      <alignment horizontal="center" vertical="center"/>
    </xf>
    <xf numFmtId="0" fontId="0" fillId="42" borderId="2" xfId="0" applyFill="1" applyBorder="1" applyAlignment="1">
      <alignment horizontal="center" vertical="center"/>
    </xf>
    <xf numFmtId="0" fontId="0" fillId="42" borderId="3" xfId="0" applyFill="1" applyBorder="1" applyAlignment="1">
      <alignment horizontal="center" vertical="center"/>
    </xf>
    <xf numFmtId="0" fontId="16" fillId="0" borderId="0" xfId="16"/>
    <xf numFmtId="1" fontId="2" fillId="30" borderId="2" xfId="39" applyNumberFormat="1" applyBorder="1"/>
    <xf numFmtId="1" fontId="2" fillId="30" borderId="3" xfId="39" applyNumberFormat="1" applyBorder="1"/>
    <xf numFmtId="1" fontId="2" fillId="30" borderId="7" xfId="39" applyNumberFormat="1" applyBorder="1"/>
    <xf numFmtId="1" fontId="2" fillId="30" borderId="8" xfId="39" applyNumberFormat="1" applyBorder="1"/>
    <xf numFmtId="0" fontId="10" fillId="5" borderId="16" xfId="9" applyBorder="1"/>
    <xf numFmtId="0" fontId="0" fillId="36" borderId="28" xfId="0" applyFill="1" applyBorder="1" applyAlignment="1">
      <alignment horizontal="center" vertical="center"/>
    </xf>
    <xf numFmtId="0" fontId="0" fillId="36" borderId="29" xfId="0" applyFill="1" applyBorder="1" applyAlignment="1">
      <alignment horizontal="center" vertical="center"/>
    </xf>
    <xf numFmtId="0" fontId="0" fillId="36" borderId="30" xfId="0" applyFill="1" applyBorder="1" applyAlignment="1">
      <alignment horizontal="center" vertical="center"/>
    </xf>
    <xf numFmtId="0" fontId="0" fillId="36" borderId="31" xfId="0" applyFill="1" applyBorder="1" applyAlignment="1">
      <alignment horizontal="center" vertical="center"/>
    </xf>
    <xf numFmtId="0" fontId="0" fillId="0" borderId="32" xfId="0" applyBorder="1"/>
    <xf numFmtId="0" fontId="0" fillId="0" borderId="33" xfId="0" applyBorder="1"/>
    <xf numFmtId="0" fontId="0" fillId="0" borderId="30" xfId="0" applyBorder="1"/>
    <xf numFmtId="0" fontId="0" fillId="0" borderId="31" xfId="0" applyBorder="1"/>
    <xf numFmtId="0" fontId="0" fillId="0" borderId="34" xfId="0" applyBorder="1"/>
    <xf numFmtId="0" fontId="0" fillId="0" borderId="35" xfId="0" applyBorder="1"/>
    <xf numFmtId="1" fontId="2" fillId="30" borderId="30" xfId="39" applyNumberFormat="1" applyBorder="1"/>
    <xf numFmtId="1" fontId="2" fillId="30" borderId="32" xfId="39" applyNumberFormat="1" applyBorder="1"/>
    <xf numFmtId="0" fontId="0" fillId="0" borderId="36" xfId="0" applyBorder="1"/>
    <xf numFmtId="0" fontId="0" fillId="0" borderId="37" xfId="0" applyBorder="1"/>
    <xf numFmtId="0" fontId="0" fillId="0" borderId="38" xfId="0" applyBorder="1"/>
    <xf numFmtId="0" fontId="0" fillId="38" borderId="30" xfId="0" applyFill="1" applyBorder="1" applyAlignment="1">
      <alignment horizontal="center" vertical="center"/>
    </xf>
    <xf numFmtId="0" fontId="0" fillId="38" borderId="31" xfId="0" applyFill="1" applyBorder="1" applyAlignment="1">
      <alignment horizontal="center" vertical="center"/>
    </xf>
    <xf numFmtId="3" fontId="0" fillId="0" borderId="32" xfId="0" applyNumberFormat="1" applyBorder="1"/>
    <xf numFmtId="3" fontId="0" fillId="0" borderId="33" xfId="0" applyNumberFormat="1" applyBorder="1"/>
    <xf numFmtId="0" fontId="0" fillId="40" borderId="28" xfId="0" applyFill="1" applyBorder="1" applyAlignment="1">
      <alignment horizontal="center" vertical="center"/>
    </xf>
    <xf numFmtId="0" fontId="0" fillId="40" borderId="29" xfId="0" applyFill="1" applyBorder="1" applyAlignment="1">
      <alignment horizontal="center" vertical="center"/>
    </xf>
    <xf numFmtId="0" fontId="0" fillId="40" borderId="30" xfId="0" applyFill="1" applyBorder="1" applyAlignment="1">
      <alignment horizontal="center" vertical="center"/>
    </xf>
    <xf numFmtId="0" fontId="0" fillId="40" borderId="31" xfId="0" applyFill="1" applyBorder="1" applyAlignment="1">
      <alignment horizontal="center" vertical="center"/>
    </xf>
    <xf numFmtId="0" fontId="0" fillId="37" borderId="30" xfId="0" applyFill="1" applyBorder="1" applyAlignment="1">
      <alignment horizontal="center" vertical="center"/>
    </xf>
    <xf numFmtId="0" fontId="0" fillId="37" borderId="31" xfId="0" applyFill="1" applyBorder="1" applyAlignment="1">
      <alignment horizontal="center" vertical="center"/>
    </xf>
    <xf numFmtId="0" fontId="0" fillId="42" borderId="28" xfId="0" applyFill="1" applyBorder="1" applyAlignment="1">
      <alignment horizontal="center" vertical="center"/>
    </xf>
    <xf numFmtId="0" fontId="0" fillId="42" borderId="29" xfId="0" applyFill="1" applyBorder="1" applyAlignment="1">
      <alignment horizontal="center" vertical="center"/>
    </xf>
    <xf numFmtId="0" fontId="0" fillId="42" borderId="30" xfId="0" applyFill="1" applyBorder="1" applyAlignment="1">
      <alignment horizontal="center" vertical="center"/>
    </xf>
    <xf numFmtId="0" fontId="0" fillId="42" borderId="31" xfId="0" applyFill="1" applyBorder="1" applyAlignment="1">
      <alignment horizontal="center" vertical="center"/>
    </xf>
    <xf numFmtId="164" fontId="0" fillId="0" borderId="4" xfId="0" applyNumberFormat="1" applyFill="1" applyBorder="1"/>
    <xf numFmtId="164" fontId="0" fillId="0" borderId="0" xfId="0" applyNumberFormat="1" applyFill="1" applyBorder="1"/>
    <xf numFmtId="164" fontId="0" fillId="0" borderId="5" xfId="0" applyNumberFormat="1" applyFill="1" applyBorder="1"/>
    <xf numFmtId="0" fontId="0" fillId="0" borderId="0" xfId="0" applyBorder="1"/>
    <xf numFmtId="0" fontId="0" fillId="43" borderId="0" xfId="0" applyFill="1"/>
    <xf numFmtId="0" fontId="20" fillId="43" borderId="4" xfId="0" applyFont="1" applyFill="1" applyBorder="1"/>
    <xf numFmtId="0" fontId="0" fillId="43" borderId="4" xfId="0" applyFill="1" applyBorder="1" applyAlignment="1">
      <alignment horizontal="left" vertical="center" wrapText="1"/>
    </xf>
    <xf numFmtId="0" fontId="0" fillId="43" borderId="0" xfId="0" applyFill="1" applyBorder="1" applyAlignment="1">
      <alignment horizontal="left" vertical="center" wrapText="1"/>
    </xf>
    <xf numFmtId="0" fontId="0" fillId="43" borderId="5" xfId="0" applyFill="1" applyBorder="1" applyAlignment="1">
      <alignment horizontal="left" vertical="center" wrapText="1"/>
    </xf>
    <xf numFmtId="0" fontId="0" fillId="43" borderId="4" xfId="0" applyFill="1" applyBorder="1"/>
    <xf numFmtId="0" fontId="0" fillId="43" borderId="0" xfId="0" applyFill="1" applyBorder="1"/>
    <xf numFmtId="0" fontId="0" fillId="43" borderId="5" xfId="0" applyFill="1" applyBorder="1"/>
    <xf numFmtId="0" fontId="23" fillId="43" borderId="0" xfId="0" applyFont="1" applyFill="1" applyBorder="1" applyAlignment="1">
      <alignment horizontal="left" vertical="center" wrapText="1"/>
    </xf>
    <xf numFmtId="0" fontId="23" fillId="30" borderId="12" xfId="39" applyFont="1" applyBorder="1"/>
    <xf numFmtId="0" fontId="23" fillId="43" borderId="0" xfId="0" applyFont="1" applyFill="1" applyBorder="1"/>
    <xf numFmtId="0" fontId="23" fillId="22" borderId="12" xfId="31" applyFont="1" applyBorder="1"/>
    <xf numFmtId="0" fontId="0" fillId="43" borderId="6" xfId="0" applyFill="1" applyBorder="1"/>
    <xf numFmtId="0" fontId="0" fillId="43" borderId="7" xfId="0" applyFill="1" applyBorder="1"/>
    <xf numFmtId="0" fontId="0" fillId="43" borderId="8" xfId="0" applyFill="1" applyBorder="1"/>
    <xf numFmtId="0" fontId="19" fillId="0" borderId="0" xfId="16" applyFont="1" applyFill="1" applyBorder="1" applyAlignment="1">
      <alignment horizontal="left" vertical="center" wrapText="1"/>
    </xf>
    <xf numFmtId="0" fontId="26" fillId="0" borderId="0" xfId="16" applyFont="1" applyFill="1" applyBorder="1" applyAlignment="1">
      <alignment horizontal="left" vertical="center" wrapText="1"/>
    </xf>
    <xf numFmtId="3" fontId="0" fillId="0" borderId="0" xfId="0" applyNumberFormat="1" applyAlignment="1">
      <alignment horizontal="left" vertical="center"/>
    </xf>
    <xf numFmtId="0" fontId="27" fillId="0" borderId="0" xfId="0" applyFont="1"/>
    <xf numFmtId="0" fontId="19" fillId="36" borderId="10" xfId="0" applyFont="1" applyFill="1" applyBorder="1" applyAlignment="1">
      <alignment horizontal="center" wrapText="1"/>
    </xf>
    <xf numFmtId="0" fontId="19" fillId="36" borderId="29" xfId="39" applyNumberFormat="1" applyFont="1" applyFill="1" applyBorder="1" applyAlignment="1">
      <alignment horizontal="center"/>
    </xf>
    <xf numFmtId="1" fontId="0" fillId="0" borderId="4" xfId="0" applyNumberFormat="1" applyFill="1" applyBorder="1"/>
    <xf numFmtId="0" fontId="0" fillId="44" borderId="9" xfId="0" applyFill="1" applyBorder="1"/>
    <xf numFmtId="0" fontId="0" fillId="45" borderId="9" xfId="0" applyFill="1" applyBorder="1"/>
    <xf numFmtId="0" fontId="0" fillId="44" borderId="10" xfId="0" applyFill="1" applyBorder="1"/>
    <xf numFmtId="0" fontId="0" fillId="44" borderId="11" xfId="0" applyFill="1" applyBorder="1"/>
    <xf numFmtId="0" fontId="0" fillId="45" borderId="10" xfId="0" applyFill="1" applyBorder="1"/>
    <xf numFmtId="0" fontId="0" fillId="45" borderId="11" xfId="0" applyFill="1" applyBorder="1"/>
    <xf numFmtId="0" fontId="0" fillId="0" borderId="0" xfId="0" applyBorder="1"/>
    <xf numFmtId="0" fontId="1" fillId="0" borderId="0" xfId="0" applyFont="1" applyAlignment="1">
      <alignment horizontal="center" wrapText="1"/>
    </xf>
    <xf numFmtId="0" fontId="1" fillId="0" borderId="0" xfId="0" applyFont="1" applyAlignment="1">
      <alignment horizontal="center"/>
    </xf>
    <xf numFmtId="164" fontId="10" fillId="5" borderId="16" xfId="9" applyNumberFormat="1"/>
    <xf numFmtId="0" fontId="0" fillId="49" borderId="0" xfId="0" applyFill="1"/>
    <xf numFmtId="0" fontId="0" fillId="0" borderId="43" xfId="0" applyBorder="1" applyAlignment="1">
      <alignment horizontal="center"/>
    </xf>
    <xf numFmtId="0" fontId="0" fillId="0" borderId="43" xfId="0" applyFill="1" applyBorder="1" applyAlignment="1">
      <alignment horizontal="center"/>
    </xf>
    <xf numFmtId="0" fontId="10" fillId="5" borderId="16" xfId="9" applyAlignment="1">
      <alignment horizontal="center" vertical="center"/>
    </xf>
    <xf numFmtId="1" fontId="2" fillId="30" borderId="10" xfId="39" applyNumberFormat="1" applyBorder="1" applyAlignment="1">
      <alignment horizontal="center" vertical="center"/>
    </xf>
    <xf numFmtId="1" fontId="2" fillId="30" borderId="28" xfId="39" applyNumberFormat="1" applyBorder="1" applyAlignment="1">
      <alignment horizontal="center" vertical="center"/>
    </xf>
    <xf numFmtId="164" fontId="2" fillId="22" borderId="0" xfId="31" applyNumberFormat="1" applyBorder="1" applyAlignment="1">
      <alignment horizontal="center" vertical="center"/>
    </xf>
    <xf numFmtId="164" fontId="2" fillId="30" borderId="0" xfId="39" applyNumberFormat="1" applyBorder="1" applyAlignment="1">
      <alignment horizontal="center" vertical="center"/>
    </xf>
    <xf numFmtId="164" fontId="10" fillId="5" borderId="49" xfId="9" applyNumberFormat="1" applyBorder="1" applyAlignment="1">
      <alignment horizontal="center" vertical="center"/>
    </xf>
    <xf numFmtId="164" fontId="2" fillId="30" borderId="34" xfId="39" applyNumberFormat="1" applyBorder="1" applyAlignment="1">
      <alignment horizontal="center" vertical="center"/>
    </xf>
    <xf numFmtId="164" fontId="2" fillId="22" borderId="34" xfId="31" applyNumberFormat="1" applyBorder="1" applyAlignment="1">
      <alignment horizontal="center" vertical="center"/>
    </xf>
    <xf numFmtId="164" fontId="2" fillId="22" borderId="36" xfId="31" applyNumberFormat="1" applyBorder="1" applyAlignment="1">
      <alignment horizontal="center" vertical="center"/>
    </xf>
    <xf numFmtId="164" fontId="2" fillId="22" borderId="37" xfId="31" applyNumberFormat="1" applyBorder="1" applyAlignment="1">
      <alignment horizontal="center" vertical="center"/>
    </xf>
    <xf numFmtId="164" fontId="10" fillId="5" borderId="34" xfId="9" applyNumberFormat="1" applyBorder="1" applyAlignment="1">
      <alignment horizontal="center" vertical="center"/>
    </xf>
    <xf numFmtId="165" fontId="2" fillId="22" borderId="34" xfId="31" applyNumberFormat="1" applyBorder="1" applyAlignment="1">
      <alignment horizontal="center" vertical="center"/>
    </xf>
    <xf numFmtId="165" fontId="2" fillId="22" borderId="0" xfId="31" applyNumberFormat="1" applyBorder="1" applyAlignment="1">
      <alignment horizontal="center" vertical="center"/>
    </xf>
    <xf numFmtId="165" fontId="2" fillId="22" borderId="36" xfId="31" applyNumberFormat="1" applyBorder="1" applyAlignment="1">
      <alignment horizontal="center" vertical="center"/>
    </xf>
    <xf numFmtId="165" fontId="2" fillId="22" borderId="37" xfId="31" applyNumberFormat="1" applyBorder="1" applyAlignment="1">
      <alignment horizontal="center" vertical="center"/>
    </xf>
    <xf numFmtId="1" fontId="2" fillId="22" borderId="0" xfId="31" applyNumberFormat="1" applyBorder="1" applyAlignment="1">
      <alignment horizontal="center" vertical="center"/>
    </xf>
    <xf numFmtId="9" fontId="2" fillId="30" borderId="0" xfId="39" applyNumberFormat="1" applyBorder="1" applyAlignment="1">
      <alignment horizontal="center" vertical="center"/>
    </xf>
    <xf numFmtId="1" fontId="2" fillId="22" borderId="34" xfId="31" applyNumberFormat="1" applyBorder="1" applyAlignment="1">
      <alignment horizontal="center" vertical="center"/>
    </xf>
    <xf numFmtId="9" fontId="2" fillId="30" borderId="36" xfId="39" applyNumberFormat="1" applyBorder="1" applyAlignment="1">
      <alignment horizontal="center" vertical="center"/>
    </xf>
    <xf numFmtId="9" fontId="2" fillId="30" borderId="37" xfId="39" applyNumberFormat="1" applyBorder="1" applyAlignment="1">
      <alignment horizontal="center" vertical="center"/>
    </xf>
    <xf numFmtId="1" fontId="2" fillId="30" borderId="36" xfId="39" applyNumberFormat="1" applyBorder="1" applyAlignment="1">
      <alignment horizontal="center" vertical="center"/>
    </xf>
    <xf numFmtId="1" fontId="2" fillId="30" borderId="37" xfId="39" applyNumberFormat="1" applyBorder="1" applyAlignment="1">
      <alignment horizontal="center" vertical="center"/>
    </xf>
    <xf numFmtId="9" fontId="2" fillId="30" borderId="34" xfId="39" applyNumberFormat="1" applyBorder="1" applyAlignment="1">
      <alignment horizontal="center" vertical="center"/>
    </xf>
    <xf numFmtId="0" fontId="2" fillId="22" borderId="36" xfId="31" applyBorder="1" applyAlignment="1">
      <alignment horizontal="center" vertical="center"/>
    </xf>
    <xf numFmtId="0" fontId="2" fillId="22" borderId="37" xfId="31" applyBorder="1" applyAlignment="1">
      <alignment horizontal="center" vertical="center"/>
    </xf>
    <xf numFmtId="164" fontId="2" fillId="30" borderId="49" xfId="39" applyNumberFormat="1" applyBorder="1" applyAlignment="1">
      <alignment horizontal="center" vertical="center"/>
    </xf>
    <xf numFmtId="164" fontId="2" fillId="30" borderId="47" xfId="39" applyNumberFormat="1" applyBorder="1" applyAlignment="1">
      <alignment horizontal="center" vertical="center"/>
    </xf>
    <xf numFmtId="0" fontId="0" fillId="0" borderId="10" xfId="0" applyBorder="1"/>
    <xf numFmtId="0" fontId="0" fillId="0" borderId="11" xfId="0" applyBorder="1"/>
    <xf numFmtId="9" fontId="2" fillId="30" borderId="10" xfId="39" applyNumberFormat="1" applyBorder="1" applyAlignment="1">
      <alignment horizontal="left" wrapText="1"/>
    </xf>
    <xf numFmtId="9" fontId="2" fillId="30" borderId="29" xfId="39" applyNumberFormat="1" applyBorder="1" applyAlignment="1">
      <alignment horizontal="left" wrapText="1"/>
    </xf>
    <xf numFmtId="9" fontId="2" fillId="30" borderId="7" xfId="39" applyNumberFormat="1" applyBorder="1" applyAlignment="1">
      <alignment horizontal="center" wrapText="1"/>
    </xf>
    <xf numFmtId="9" fontId="2" fillId="30" borderId="33" xfId="39" applyNumberFormat="1" applyBorder="1" applyAlignment="1">
      <alignment horizontal="center" wrapText="1"/>
    </xf>
    <xf numFmtId="1" fontId="2" fillId="30" borderId="10" xfId="39" applyNumberFormat="1" applyBorder="1" applyAlignment="1">
      <alignment horizontal="center" wrapText="1"/>
    </xf>
    <xf numFmtId="1" fontId="2" fillId="30" borderId="29" xfId="39" applyNumberFormat="1" applyBorder="1" applyAlignment="1">
      <alignment horizontal="center" wrapText="1"/>
    </xf>
    <xf numFmtId="9" fontId="2" fillId="30" borderId="10" xfId="39" applyNumberFormat="1" applyBorder="1" applyAlignment="1">
      <alignment horizontal="center" wrapText="1"/>
    </xf>
    <xf numFmtId="9" fontId="2" fillId="30" borderId="29" xfId="39" applyNumberFormat="1" applyBorder="1" applyAlignment="1">
      <alignment horizontal="center" wrapText="1"/>
    </xf>
    <xf numFmtId="3" fontId="2" fillId="30" borderId="10" xfId="39" applyNumberFormat="1" applyBorder="1" applyAlignment="1">
      <alignment horizontal="center" wrapText="1"/>
    </xf>
    <xf numFmtId="3" fontId="2" fillId="30" borderId="29" xfId="39" applyNumberFormat="1" applyBorder="1" applyAlignment="1">
      <alignment horizontal="center" wrapText="1"/>
    </xf>
    <xf numFmtId="0" fontId="21" fillId="36" borderId="2" xfId="0" applyFont="1" applyFill="1" applyBorder="1" applyAlignment="1">
      <alignment horizontal="center" wrapText="1"/>
    </xf>
    <xf numFmtId="0" fontId="21" fillId="36" borderId="31" xfId="39" applyNumberFormat="1" applyFont="1" applyFill="1" applyBorder="1" applyAlignment="1">
      <alignment horizontal="center"/>
    </xf>
    <xf numFmtId="9" fontId="2" fillId="30" borderId="45" xfId="39" applyNumberFormat="1" applyBorder="1" applyAlignment="1">
      <alignment horizontal="center" wrapText="1"/>
    </xf>
    <xf numFmtId="9" fontId="2" fillId="30" borderId="46" xfId="39" applyNumberFormat="1" applyBorder="1" applyAlignment="1">
      <alignment horizontal="center" wrapText="1"/>
    </xf>
    <xf numFmtId="0" fontId="21" fillId="36" borderId="10" xfId="0" applyFont="1" applyFill="1" applyBorder="1" applyAlignment="1">
      <alignment horizontal="center" wrapText="1"/>
    </xf>
    <xf numFmtId="0" fontId="21" fillId="36" borderId="29" xfId="39" applyNumberFormat="1" applyFont="1" applyFill="1" applyBorder="1" applyAlignment="1">
      <alignment horizontal="center"/>
    </xf>
    <xf numFmtId="166" fontId="2" fillId="30" borderId="36" xfId="39" applyNumberFormat="1" applyBorder="1" applyAlignment="1">
      <alignment horizontal="center" vertical="center"/>
    </xf>
    <xf numFmtId="166" fontId="2" fillId="30" borderId="37" xfId="39" applyNumberFormat="1" applyBorder="1" applyAlignment="1">
      <alignment horizontal="center" vertical="center"/>
    </xf>
    <xf numFmtId="165" fontId="2" fillId="30" borderId="49" xfId="39" applyNumberFormat="1" applyBorder="1" applyAlignment="1">
      <alignment horizontal="center" vertical="center"/>
    </xf>
    <xf numFmtId="165" fontId="2" fillId="30" borderId="47" xfId="39" applyNumberFormat="1" applyBorder="1" applyAlignment="1">
      <alignment horizontal="center" vertical="center"/>
    </xf>
    <xf numFmtId="3" fontId="2" fillId="22" borderId="0" xfId="31" applyNumberFormat="1" applyBorder="1" applyAlignment="1">
      <alignment horizontal="center" vertical="center"/>
    </xf>
    <xf numFmtId="3" fontId="2" fillId="22" borderId="1" xfId="31" applyNumberFormat="1" applyBorder="1" applyAlignment="1">
      <alignment horizontal="center" vertical="center"/>
    </xf>
    <xf numFmtId="3" fontId="2" fillId="22" borderId="2" xfId="31" applyNumberFormat="1" applyBorder="1" applyAlignment="1">
      <alignment horizontal="center" vertical="center"/>
    </xf>
    <xf numFmtId="3" fontId="2" fillId="22" borderId="4" xfId="31" applyNumberFormat="1" applyBorder="1" applyAlignment="1">
      <alignment horizontal="center" vertical="center"/>
    </xf>
    <xf numFmtId="0" fontId="18" fillId="0" borderId="0" xfId="42"/>
    <xf numFmtId="0" fontId="0" fillId="0" borderId="0" xfId="42" applyFont="1"/>
    <xf numFmtId="3" fontId="2" fillId="22" borderId="49" xfId="31" applyNumberFormat="1" applyBorder="1" applyAlignment="1">
      <alignment horizontal="center" vertical="center"/>
    </xf>
    <xf numFmtId="3" fontId="2" fillId="22" borderId="50" xfId="31" applyNumberFormat="1" applyBorder="1" applyAlignment="1">
      <alignment horizontal="center" vertical="center"/>
    </xf>
    <xf numFmtId="3" fontId="2" fillId="22" borderId="34" xfId="31" applyNumberFormat="1" applyBorder="1" applyAlignment="1">
      <alignment horizontal="center" vertical="center"/>
    </xf>
    <xf numFmtId="3" fontId="2" fillId="22" borderId="30" xfId="31" applyNumberFormat="1" applyBorder="1" applyAlignment="1">
      <alignment horizontal="center" vertical="center"/>
    </xf>
    <xf numFmtId="3" fontId="2" fillId="22" borderId="47" xfId="31" applyNumberFormat="1" applyBorder="1" applyAlignment="1">
      <alignment horizontal="center" vertical="center"/>
    </xf>
    <xf numFmtId="164" fontId="2" fillId="30" borderId="32" xfId="39" applyNumberFormat="1" applyBorder="1" applyAlignment="1">
      <alignment horizontal="center" vertical="center"/>
    </xf>
    <xf numFmtId="1" fontId="2" fillId="30" borderId="36" xfId="39" applyNumberFormat="1" applyBorder="1" applyAlignment="1">
      <alignment horizontal="center"/>
    </xf>
    <xf numFmtId="1" fontId="2" fillId="30" borderId="37" xfId="39" applyNumberFormat="1" applyBorder="1" applyAlignment="1">
      <alignment horizontal="center"/>
    </xf>
    <xf numFmtId="1" fontId="2" fillId="30" borderId="44" xfId="39" applyNumberFormat="1" applyBorder="1" applyAlignment="1">
      <alignment horizontal="center" vertical="center"/>
    </xf>
    <xf numFmtId="1" fontId="2" fillId="30" borderId="45" xfId="39" applyNumberFormat="1" applyBorder="1" applyAlignment="1">
      <alignment horizontal="center" vertical="center"/>
    </xf>
    <xf numFmtId="3" fontId="2" fillId="22" borderId="0" xfId="31" applyNumberFormat="1" applyBorder="1" applyAlignment="1">
      <alignment horizontal="center"/>
    </xf>
    <xf numFmtId="3" fontId="2" fillId="22" borderId="4" xfId="31" applyNumberFormat="1" applyBorder="1" applyAlignment="1">
      <alignment horizontal="center"/>
    </xf>
    <xf numFmtId="1" fontId="2" fillId="30" borderId="26" xfId="39" applyNumberFormat="1" applyBorder="1" applyAlignment="1">
      <alignment horizontal="center" wrapText="1"/>
    </xf>
    <xf numFmtId="1" fontId="2" fillId="30" borderId="27" xfId="39" applyNumberFormat="1" applyBorder="1" applyAlignment="1">
      <alignment horizontal="center" wrapText="1"/>
    </xf>
    <xf numFmtId="3" fontId="2" fillId="30" borderId="45" xfId="39" applyNumberFormat="1" applyBorder="1" applyAlignment="1">
      <alignment horizontal="center" wrapText="1"/>
    </xf>
    <xf numFmtId="3" fontId="2" fillId="30" borderId="46" xfId="39" applyNumberFormat="1" applyBorder="1" applyAlignment="1">
      <alignment horizontal="center" wrapText="1"/>
    </xf>
    <xf numFmtId="1" fontId="0" fillId="49" borderId="4" xfId="0" applyNumberFormat="1" applyFill="1" applyBorder="1"/>
    <xf numFmtId="10" fontId="0" fillId="49" borderId="0" xfId="0" applyNumberFormat="1" applyFill="1" applyBorder="1" applyAlignment="1">
      <alignment horizontal="center"/>
    </xf>
    <xf numFmtId="164" fontId="0" fillId="49" borderId="4" xfId="0" applyNumberFormat="1" applyFill="1" applyBorder="1"/>
    <xf numFmtId="164" fontId="0" fillId="49" borderId="0" xfId="0" applyNumberFormat="1" applyFill="1" applyBorder="1"/>
    <xf numFmtId="164" fontId="0" fillId="49" borderId="5" xfId="0" applyNumberFormat="1" applyFill="1" applyBorder="1"/>
    <xf numFmtId="0" fontId="0" fillId="0" borderId="0" xfId="0" applyFill="1" applyBorder="1" applyAlignment="1">
      <alignment horizontal="center"/>
    </xf>
    <xf numFmtId="0" fontId="1" fillId="50" borderId="51" xfId="0" applyFont="1" applyFill="1" applyBorder="1" applyAlignment="1">
      <alignment horizontal="center" wrapText="1"/>
    </xf>
    <xf numFmtId="0" fontId="1" fillId="50" borderId="2" xfId="0" applyFont="1" applyFill="1" applyBorder="1" applyAlignment="1">
      <alignment horizontal="center" wrapText="1"/>
    </xf>
    <xf numFmtId="0" fontId="1" fillId="50" borderId="3" xfId="0" applyFont="1" applyFill="1" applyBorder="1" applyAlignment="1">
      <alignment horizontal="center" wrapText="1"/>
    </xf>
    <xf numFmtId="0" fontId="0" fillId="0" borderId="52" xfId="0" applyFill="1" applyBorder="1"/>
    <xf numFmtId="10" fontId="0" fillId="0" borderId="5" xfId="0" applyNumberFormat="1" applyBorder="1"/>
    <xf numFmtId="0" fontId="0" fillId="0" borderId="43" xfId="0" applyBorder="1"/>
    <xf numFmtId="0" fontId="0" fillId="0" borderId="43" xfId="0" applyFill="1" applyBorder="1"/>
    <xf numFmtId="0" fontId="23" fillId="0" borderId="43" xfId="19" applyFont="1" applyFill="1" applyBorder="1"/>
    <xf numFmtId="0" fontId="23" fillId="0" borderId="53" xfId="19" applyFont="1" applyFill="1" applyBorder="1"/>
    <xf numFmtId="0" fontId="0" fillId="0" borderId="53" xfId="0" applyFill="1" applyBorder="1" applyAlignment="1">
      <alignment horizontal="center"/>
    </xf>
    <xf numFmtId="10" fontId="0" fillId="0" borderId="8" xfId="0" applyNumberFormat="1" applyBorder="1"/>
    <xf numFmtId="9" fontId="2" fillId="30" borderId="6" xfId="39" applyNumberFormat="1" applyBorder="1" applyAlignment="1">
      <alignment horizontal="center" vertical="center"/>
    </xf>
    <xf numFmtId="9" fontId="2" fillId="30" borderId="7" xfId="39" applyNumberFormat="1" applyBorder="1" applyAlignment="1">
      <alignment horizontal="center" vertical="center"/>
    </xf>
    <xf numFmtId="165" fontId="2" fillId="22" borderId="49" xfId="31" applyNumberFormat="1" applyBorder="1" applyAlignment="1">
      <alignment horizontal="center" vertical="center"/>
    </xf>
    <xf numFmtId="165" fontId="2" fillId="22" borderId="47" xfId="31" applyNumberFormat="1" applyBorder="1" applyAlignment="1">
      <alignment horizontal="center" vertical="center"/>
    </xf>
    <xf numFmtId="165" fontId="2" fillId="22" borderId="34" xfId="31" applyNumberFormat="1" applyBorder="1"/>
    <xf numFmtId="165" fontId="2" fillId="22" borderId="0" xfId="31" applyNumberFormat="1" applyBorder="1"/>
    <xf numFmtId="1" fontId="10" fillId="5" borderId="16" xfId="9" applyNumberFormat="1" applyAlignment="1">
      <alignment horizontal="center" vertical="center"/>
    </xf>
    <xf numFmtId="10" fontId="10" fillId="5" borderId="16" xfId="9" applyNumberFormat="1" applyAlignment="1">
      <alignment horizontal="center"/>
    </xf>
    <xf numFmtId="0" fontId="23" fillId="43" borderId="0" xfId="0" applyFont="1" applyFill="1" applyBorder="1" applyAlignment="1">
      <alignment wrapText="1"/>
    </xf>
    <xf numFmtId="0" fontId="23" fillId="43" borderId="5" xfId="0" applyFont="1" applyFill="1" applyBorder="1" applyAlignment="1">
      <alignment wrapText="1"/>
    </xf>
    <xf numFmtId="0" fontId="20" fillId="43" borderId="1" xfId="0" applyFont="1" applyFill="1" applyBorder="1" applyAlignment="1">
      <alignment horizontal="left" vertical="center" wrapText="1"/>
    </xf>
    <xf numFmtId="0" fontId="20" fillId="43" borderId="2" xfId="0" applyFont="1" applyFill="1" applyBorder="1" applyAlignment="1">
      <alignment horizontal="left" vertical="center" wrapText="1"/>
    </xf>
    <xf numFmtId="0" fontId="20" fillId="43" borderId="3" xfId="0" applyFont="1" applyFill="1" applyBorder="1" applyAlignment="1">
      <alignment horizontal="left" vertical="center" wrapText="1"/>
    </xf>
    <xf numFmtId="0" fontId="21" fillId="43" borderId="0" xfId="0" applyFont="1" applyFill="1" applyBorder="1" applyAlignment="1">
      <alignment horizontal="left" vertical="center" wrapText="1"/>
    </xf>
    <xf numFmtId="0" fontId="20" fillId="43" borderId="0" xfId="0" applyFont="1" applyFill="1" applyBorder="1" applyAlignment="1">
      <alignment horizontal="left" vertical="center" wrapText="1"/>
    </xf>
    <xf numFmtId="0" fontId="20" fillId="43" borderId="5" xfId="0" applyFont="1" applyFill="1" applyBorder="1" applyAlignment="1">
      <alignment horizontal="left" vertical="center" wrapText="1"/>
    </xf>
    <xf numFmtId="0" fontId="0" fillId="43" borderId="4" xfId="0" applyFill="1" applyBorder="1" applyAlignment="1">
      <alignment horizontal="left" vertical="center" wrapText="1"/>
    </xf>
    <xf numFmtId="0" fontId="0" fillId="43" borderId="0" xfId="0" applyFill="1" applyBorder="1" applyAlignment="1">
      <alignment horizontal="left" vertical="center" wrapText="1"/>
    </xf>
    <xf numFmtId="0" fontId="0" fillId="43" borderId="5" xfId="0" applyFill="1" applyBorder="1" applyAlignment="1">
      <alignment horizontal="left" vertical="center" wrapText="1"/>
    </xf>
    <xf numFmtId="0" fontId="23" fillId="43" borderId="0" xfId="0" applyFont="1" applyFill="1" applyBorder="1" applyAlignment="1">
      <alignment horizontal="left" vertical="center" wrapText="1"/>
    </xf>
    <xf numFmtId="0" fontId="23" fillId="43" borderId="39" xfId="0" applyFont="1" applyFill="1" applyBorder="1" applyAlignment="1">
      <alignment horizontal="left" vertical="center" wrapText="1"/>
    </xf>
    <xf numFmtId="0" fontId="16" fillId="0" borderId="36" xfId="16" applyBorder="1" applyAlignment="1">
      <alignment horizontal="left" wrapText="1"/>
    </xf>
    <xf numFmtId="0" fontId="16" fillId="0" borderId="37" xfId="16" applyBorder="1" applyAlignment="1">
      <alignment horizontal="left" wrapText="1"/>
    </xf>
    <xf numFmtId="0" fontId="16" fillId="0" borderId="38" xfId="16" applyBorder="1" applyAlignment="1">
      <alignment horizontal="left" wrapText="1"/>
    </xf>
    <xf numFmtId="0" fontId="19" fillId="36" borderId="28" xfId="0" applyFont="1" applyFill="1" applyBorder="1" applyAlignment="1">
      <alignment horizontal="left" wrapText="1"/>
    </xf>
    <xf numFmtId="0" fontId="19" fillId="36" borderId="10" xfId="0" applyFont="1" applyFill="1" applyBorder="1" applyAlignment="1">
      <alignment horizontal="left" wrapText="1"/>
    </xf>
    <xf numFmtId="0" fontId="0" fillId="0" borderId="32" xfId="0" applyBorder="1" applyAlignment="1">
      <alignment horizontal="left" wrapText="1"/>
    </xf>
    <xf numFmtId="0" fontId="0" fillId="0" borderId="7" xfId="0" applyBorder="1" applyAlignment="1">
      <alignment horizontal="left" wrapText="1"/>
    </xf>
    <xf numFmtId="0" fontId="0" fillId="0" borderId="28" xfId="0" applyBorder="1" applyAlignment="1">
      <alignment horizontal="left" wrapText="1"/>
    </xf>
    <xf numFmtId="0" fontId="0" fillId="0" borderId="10" xfId="0" applyBorder="1" applyAlignment="1">
      <alignment horizontal="left" wrapText="1"/>
    </xf>
    <xf numFmtId="0" fontId="0" fillId="0" borderId="44" xfId="0" applyBorder="1" applyAlignment="1">
      <alignment horizontal="left" wrapText="1"/>
    </xf>
    <xf numFmtId="0" fontId="0" fillId="0" borderId="45" xfId="0" applyBorder="1" applyAlignment="1">
      <alignment horizontal="left" wrapText="1"/>
    </xf>
    <xf numFmtId="0" fontId="19" fillId="36" borderId="30" xfId="0" applyFont="1" applyFill="1" applyBorder="1" applyAlignment="1">
      <alignment horizontal="left" wrapText="1"/>
    </xf>
    <xf numFmtId="0" fontId="19" fillId="36" borderId="2" xfId="0" applyFont="1" applyFill="1" applyBorder="1" applyAlignment="1">
      <alignment horizontal="left" wrapText="1"/>
    </xf>
    <xf numFmtId="3" fontId="21" fillId="26" borderId="25" xfId="35" applyNumberFormat="1" applyFont="1" applyBorder="1" applyAlignment="1">
      <alignment horizontal="left" vertical="center" wrapText="1"/>
    </xf>
    <xf numFmtId="3" fontId="2" fillId="26" borderId="26" xfId="35" applyNumberFormat="1" applyBorder="1" applyAlignment="1">
      <alignment horizontal="left" vertical="center"/>
    </xf>
    <xf numFmtId="3" fontId="2" fillId="26" borderId="27" xfId="35" applyNumberFormat="1" applyBorder="1" applyAlignment="1">
      <alignment horizontal="left" vertical="center"/>
    </xf>
    <xf numFmtId="0" fontId="0" fillId="0" borderId="25" xfId="0" applyBorder="1" applyAlignment="1">
      <alignment horizontal="left" wrapText="1"/>
    </xf>
    <xf numFmtId="0" fontId="0" fillId="0" borderId="26" xfId="0" applyBorder="1" applyAlignment="1">
      <alignment horizontal="left" wrapText="1"/>
    </xf>
    <xf numFmtId="0" fontId="19" fillId="0" borderId="40" xfId="16" applyFont="1" applyFill="1" applyBorder="1" applyAlignment="1">
      <alignment horizontal="left" vertical="center" wrapText="1"/>
    </xf>
    <xf numFmtId="0" fontId="26" fillId="0" borderId="41" xfId="16" applyFont="1" applyFill="1" applyBorder="1" applyAlignment="1">
      <alignment horizontal="left" vertical="center" wrapText="1"/>
    </xf>
    <xf numFmtId="0" fontId="26" fillId="0" borderId="42" xfId="16" applyFont="1" applyFill="1" applyBorder="1" applyAlignment="1">
      <alignment horizontal="left" vertical="center" wrapText="1"/>
    </xf>
    <xf numFmtId="0" fontId="21" fillId="40" borderId="25" xfId="0" applyFont="1" applyFill="1" applyBorder="1" applyAlignment="1">
      <alignment horizontal="left" vertical="center" wrapText="1"/>
    </xf>
    <xf numFmtId="0" fontId="21" fillId="40" borderId="26" xfId="0" applyFont="1" applyFill="1" applyBorder="1" applyAlignment="1">
      <alignment horizontal="left" vertical="center"/>
    </xf>
    <xf numFmtId="0" fontId="21" fillId="40" borderId="27" xfId="0" applyFont="1" applyFill="1" applyBorder="1" applyAlignment="1">
      <alignment horizontal="left" vertical="center"/>
    </xf>
    <xf numFmtId="0" fontId="0" fillId="0" borderId="28" xfId="0" applyBorder="1" applyAlignment="1">
      <alignment wrapText="1"/>
    </xf>
    <xf numFmtId="0" fontId="0" fillId="0" borderId="10" xfId="0" applyBorder="1" applyAlignment="1">
      <alignment wrapText="1"/>
    </xf>
    <xf numFmtId="0" fontId="16" fillId="0" borderId="10" xfId="16" applyBorder="1" applyAlignment="1">
      <alignment wrapText="1"/>
    </xf>
    <xf numFmtId="0" fontId="16" fillId="0" borderId="29" xfId="16" applyBorder="1" applyAlignment="1">
      <alignment wrapText="1"/>
    </xf>
    <xf numFmtId="0" fontId="28" fillId="0" borderId="0" xfId="0" applyFont="1" applyBorder="1" applyAlignment="1">
      <alignment horizontal="left" vertical="center" wrapText="1"/>
    </xf>
    <xf numFmtId="0" fontId="28" fillId="0" borderId="35" xfId="0" applyFont="1" applyBorder="1" applyAlignment="1">
      <alignment horizontal="left" vertical="center" wrapText="1"/>
    </xf>
    <xf numFmtId="0" fontId="28" fillId="0" borderId="37" xfId="0" applyFont="1" applyBorder="1" applyAlignment="1">
      <alignment vertical="center" wrapText="1"/>
    </xf>
    <xf numFmtId="0" fontId="28" fillId="0" borderId="38" xfId="0" applyFont="1" applyBorder="1" applyAlignment="1">
      <alignment vertical="center" wrapText="1"/>
    </xf>
    <xf numFmtId="0" fontId="21" fillId="48" borderId="40" xfId="0" applyFont="1" applyFill="1" applyBorder="1" applyAlignment="1">
      <alignment vertical="center"/>
    </xf>
    <xf numFmtId="0" fontId="21" fillId="48" borderId="41" xfId="0" applyFont="1" applyFill="1" applyBorder="1" applyAlignment="1">
      <alignment vertical="center"/>
    </xf>
    <xf numFmtId="0" fontId="21" fillId="48" borderId="42" xfId="0" applyFont="1" applyFill="1" applyBorder="1" applyAlignment="1">
      <alignment vertical="center"/>
    </xf>
    <xf numFmtId="0" fontId="28" fillId="0" borderId="47" xfId="0" applyFont="1" applyBorder="1" applyAlignment="1">
      <alignment horizontal="left" vertical="center" wrapText="1"/>
    </xf>
    <xf numFmtId="0" fontId="28" fillId="0" borderId="48" xfId="0" applyFont="1" applyBorder="1" applyAlignment="1">
      <alignment horizontal="left" vertical="center" wrapText="1"/>
    </xf>
    <xf numFmtId="0" fontId="28" fillId="0" borderId="47" xfId="0" applyFont="1" applyBorder="1" applyAlignment="1">
      <alignment vertical="center" wrapText="1"/>
    </xf>
    <xf numFmtId="0" fontId="28" fillId="0" borderId="48" xfId="0" applyFont="1" applyBorder="1" applyAlignment="1">
      <alignment vertical="center" wrapText="1"/>
    </xf>
    <xf numFmtId="0" fontId="0" fillId="0" borderId="40" xfId="0" applyBorder="1" applyAlignment="1">
      <alignment wrapText="1"/>
    </xf>
    <xf numFmtId="0" fontId="0" fillId="0" borderId="41" xfId="0" applyBorder="1" applyAlignment="1">
      <alignment wrapText="1"/>
    </xf>
    <xf numFmtId="0" fontId="0" fillId="0" borderId="42" xfId="0" applyBorder="1" applyAlignment="1">
      <alignment wrapText="1"/>
    </xf>
    <xf numFmtId="0" fontId="28" fillId="0" borderId="0" xfId="0" applyFont="1" applyBorder="1" applyAlignment="1">
      <alignment vertical="center" wrapText="1"/>
    </xf>
    <xf numFmtId="0" fontId="28" fillId="0" borderId="35" xfId="0" applyFont="1" applyBorder="1" applyAlignment="1">
      <alignment vertical="center" wrapText="1"/>
    </xf>
    <xf numFmtId="0" fontId="28" fillId="0" borderId="37" xfId="0" applyFont="1" applyBorder="1" applyAlignment="1">
      <alignment horizontal="left" vertical="center" wrapText="1"/>
    </xf>
    <xf numFmtId="0" fontId="28" fillId="0" borderId="38" xfId="0" applyFont="1" applyBorder="1" applyAlignment="1">
      <alignment horizontal="left" vertical="center" wrapText="1"/>
    </xf>
    <xf numFmtId="0" fontId="0" fillId="0" borderId="2" xfId="0"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5" xfId="0" applyFont="1"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wrapText="1"/>
    </xf>
    <xf numFmtId="0" fontId="0" fillId="0" borderId="5"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0" xfId="0"/>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35" xfId="0" applyBorder="1" applyAlignment="1">
      <alignment horizontal="left" vertical="center" wrapText="1"/>
    </xf>
    <xf numFmtId="0" fontId="0" fillId="0" borderId="31" xfId="0" applyFont="1" applyBorder="1" applyAlignment="1">
      <alignment horizontal="left" vertical="center" wrapText="1"/>
    </xf>
    <xf numFmtId="0" fontId="0" fillId="0" borderId="35" xfId="0" applyFont="1" applyBorder="1" applyAlignment="1">
      <alignment horizontal="left" vertical="center" wrapText="1"/>
    </xf>
    <xf numFmtId="0" fontId="0" fillId="0" borderId="7" xfId="0" applyFont="1" applyBorder="1" applyAlignment="1">
      <alignment horizontal="left" vertical="center" wrapText="1"/>
    </xf>
    <xf numFmtId="0" fontId="0" fillId="0" borderId="33" xfId="0" applyFont="1" applyBorder="1" applyAlignment="1">
      <alignment horizontal="left" vertical="center" wrapText="1"/>
    </xf>
    <xf numFmtId="0" fontId="0" fillId="0" borderId="10" xfId="0" applyFont="1" applyBorder="1" applyAlignment="1">
      <alignment horizontal="left" vertical="center" wrapText="1"/>
    </xf>
    <xf numFmtId="0" fontId="0" fillId="0" borderId="29" xfId="0" applyFont="1" applyBorder="1" applyAlignment="1">
      <alignment horizontal="left" vertical="center" wrapText="1"/>
    </xf>
    <xf numFmtId="0" fontId="0" fillId="0" borderId="37" xfId="0" applyFont="1" applyBorder="1"/>
    <xf numFmtId="0" fontId="0" fillId="0" borderId="38" xfId="0" applyFont="1" applyBorder="1"/>
    <xf numFmtId="0" fontId="0" fillId="0" borderId="47" xfId="0" applyBorder="1" applyAlignment="1">
      <alignment horizontal="left" vertical="center" wrapText="1"/>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0" xfId="0" applyAlignment="1">
      <alignment horizont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8" xfId="0" applyFont="1" applyBorder="1" applyAlignment="1">
      <alignment horizontal="left" vertical="center" wrapText="1"/>
    </xf>
    <xf numFmtId="0" fontId="21" fillId="0" borderId="40" xfId="0" applyFont="1" applyBorder="1" applyAlignment="1">
      <alignment vertical="center" wrapText="1"/>
    </xf>
    <xf numFmtId="0" fontId="21" fillId="0" borderId="41" xfId="0" applyFont="1" applyBorder="1" applyAlignment="1">
      <alignment vertical="center" wrapText="1"/>
    </xf>
    <xf numFmtId="0" fontId="21" fillId="0" borderId="42" xfId="0" applyFont="1" applyBorder="1" applyAlignment="1">
      <alignment vertical="center" wrapText="1"/>
    </xf>
    <xf numFmtId="0" fontId="0" fillId="0" borderId="12" xfId="0" applyBorder="1" applyAlignment="1">
      <alignment horizontal="center" wrapText="1"/>
    </xf>
    <xf numFmtId="0" fontId="0" fillId="44" borderId="9" xfId="0" applyFill="1" applyBorder="1" applyAlignment="1">
      <alignment horizontal="center" wrapText="1"/>
    </xf>
    <xf numFmtId="0" fontId="0" fillId="44" borderId="10" xfId="0" applyFill="1" applyBorder="1" applyAlignment="1">
      <alignment horizontal="center" wrapText="1"/>
    </xf>
    <xf numFmtId="0" fontId="0" fillId="44" borderId="11" xfId="0" applyFill="1" applyBorder="1" applyAlignment="1">
      <alignment horizontal="center" wrapText="1"/>
    </xf>
    <xf numFmtId="0" fontId="0" fillId="45" borderId="9" xfId="0" applyFill="1" applyBorder="1" applyAlignment="1">
      <alignment horizontal="center" wrapText="1"/>
    </xf>
    <xf numFmtId="0" fontId="0" fillId="45" borderId="10" xfId="0" applyFill="1" applyBorder="1" applyAlignment="1">
      <alignment horizontal="center" wrapText="1"/>
    </xf>
    <xf numFmtId="0" fontId="0" fillId="45" borderId="11" xfId="0" applyFill="1" applyBorder="1" applyAlignment="1">
      <alignment horizontal="center" wrapText="1"/>
    </xf>
    <xf numFmtId="0" fontId="0" fillId="44" borderId="1" xfId="0" applyFill="1" applyBorder="1" applyAlignment="1">
      <alignment horizontal="center" wrapText="1"/>
    </xf>
    <xf numFmtId="0" fontId="0" fillId="44" borderId="2" xfId="0" applyFill="1" applyBorder="1" applyAlignment="1">
      <alignment horizontal="center" wrapText="1"/>
    </xf>
    <xf numFmtId="0" fontId="0" fillId="44" borderId="3" xfId="0" applyFill="1" applyBorder="1" applyAlignment="1">
      <alignment horizontal="center" wrapText="1"/>
    </xf>
    <xf numFmtId="0" fontId="0" fillId="0" borderId="41" xfId="0" applyBorder="1"/>
    <xf numFmtId="0" fontId="0" fillId="0" borderId="42" xfId="0" applyBorder="1"/>
    <xf numFmtId="0" fontId="19" fillId="41" borderId="9" xfId="0" applyFont="1" applyFill="1" applyBorder="1" applyAlignment="1">
      <alignment horizontal="center" vertical="center"/>
    </xf>
    <xf numFmtId="0" fontId="19" fillId="41" borderId="10" xfId="0" applyFont="1" applyFill="1" applyBorder="1" applyAlignment="1">
      <alignment horizontal="center" vertical="center"/>
    </xf>
    <xf numFmtId="0" fontId="19" fillId="41" borderId="11" xfId="0" applyFont="1" applyFill="1" applyBorder="1" applyAlignment="1">
      <alignment horizontal="center" vertical="center"/>
    </xf>
    <xf numFmtId="0" fontId="0" fillId="41" borderId="9" xfId="0" applyFill="1" applyBorder="1" applyAlignment="1">
      <alignment horizontal="center" vertical="center"/>
    </xf>
    <xf numFmtId="0" fontId="0" fillId="41" borderId="10" xfId="0" applyFill="1" applyBorder="1" applyAlignment="1">
      <alignment horizontal="center" vertical="center"/>
    </xf>
    <xf numFmtId="0" fontId="0" fillId="41" borderId="11" xfId="0" applyFill="1" applyBorder="1" applyAlignment="1">
      <alignment horizontal="center" vertical="center"/>
    </xf>
    <xf numFmtId="0" fontId="19" fillId="34" borderId="9" xfId="0" applyFont="1" applyFill="1" applyBorder="1" applyAlignment="1">
      <alignment horizontal="center" vertical="center"/>
    </xf>
    <xf numFmtId="0" fontId="19" fillId="34" borderId="10" xfId="0" applyFont="1" applyFill="1" applyBorder="1" applyAlignment="1">
      <alignment horizontal="center" vertical="center"/>
    </xf>
    <xf numFmtId="0" fontId="19" fillId="34" borderId="11" xfId="0" applyFont="1" applyFill="1" applyBorder="1" applyAlignment="1">
      <alignment horizontal="center" vertical="center"/>
    </xf>
    <xf numFmtId="0" fontId="19" fillId="33" borderId="9" xfId="0" applyFont="1" applyFill="1" applyBorder="1" applyAlignment="1">
      <alignment horizontal="center" vertical="center"/>
    </xf>
    <xf numFmtId="0" fontId="19" fillId="33" borderId="10" xfId="0" applyFont="1" applyFill="1" applyBorder="1" applyAlignment="1">
      <alignment horizontal="center" vertical="center"/>
    </xf>
    <xf numFmtId="0" fontId="19" fillId="33" borderId="11" xfId="0" applyFont="1" applyFill="1" applyBorder="1" applyAlignment="1">
      <alignment horizontal="center" vertical="center"/>
    </xf>
    <xf numFmtId="0" fontId="0" fillId="34" borderId="9" xfId="0" applyFill="1" applyBorder="1" applyAlignment="1">
      <alignment horizontal="center" vertical="center"/>
    </xf>
    <xf numFmtId="0" fontId="0" fillId="34" borderId="10" xfId="0" applyFill="1" applyBorder="1" applyAlignment="1">
      <alignment horizontal="center" vertical="center"/>
    </xf>
    <xf numFmtId="0" fontId="0" fillId="34" borderId="11" xfId="0" applyFill="1" applyBorder="1" applyAlignment="1">
      <alignment horizontal="center" vertical="center"/>
    </xf>
    <xf numFmtId="0" fontId="0" fillId="33" borderId="9" xfId="0" applyFill="1"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9" borderId="9" xfId="0" applyFill="1" applyBorder="1" applyAlignment="1">
      <alignment horizontal="center" vertical="center"/>
    </xf>
    <xf numFmtId="0" fontId="0" fillId="39" borderId="10" xfId="0" applyFill="1" applyBorder="1" applyAlignment="1">
      <alignment horizontal="center" vertical="center"/>
    </xf>
    <xf numFmtId="0" fontId="0" fillId="39" borderId="11" xfId="0" applyFill="1" applyBorder="1" applyAlignment="1">
      <alignment horizontal="center" vertical="center"/>
    </xf>
    <xf numFmtId="0" fontId="19" fillId="39" borderId="9" xfId="0" applyFont="1" applyFill="1" applyBorder="1" applyAlignment="1">
      <alignment horizontal="center" vertical="center"/>
    </xf>
    <xf numFmtId="0" fontId="19" fillId="39" borderId="10" xfId="0" applyFont="1" applyFill="1" applyBorder="1" applyAlignment="1">
      <alignment horizontal="center" vertical="center"/>
    </xf>
    <xf numFmtId="0" fontId="19" fillId="39" borderId="11" xfId="0" applyFont="1" applyFill="1" applyBorder="1" applyAlignment="1">
      <alignment horizontal="center" vertical="center"/>
    </xf>
    <xf numFmtId="0" fontId="19" fillId="35" borderId="9" xfId="0" applyFont="1" applyFill="1" applyBorder="1" applyAlignment="1">
      <alignment horizontal="center" vertical="center"/>
    </xf>
    <xf numFmtId="0" fontId="19" fillId="35" borderId="10" xfId="0" applyFont="1" applyFill="1" applyBorder="1" applyAlignment="1">
      <alignment horizontal="center" vertical="center"/>
    </xf>
    <xf numFmtId="0" fontId="19" fillId="35" borderId="11" xfId="0" applyFont="1" applyFill="1" applyBorder="1" applyAlignment="1">
      <alignment horizontal="center" vertical="center"/>
    </xf>
    <xf numFmtId="0" fontId="0" fillId="35" borderId="9" xfId="0" applyFill="1" applyBorder="1" applyAlignment="1">
      <alignment horizontal="center" vertical="center"/>
    </xf>
    <xf numFmtId="0" fontId="0" fillId="35" borderId="10" xfId="0" applyFill="1" applyBorder="1" applyAlignment="1">
      <alignment horizontal="center" vertical="center"/>
    </xf>
    <xf numFmtId="0" fontId="0" fillId="35" borderId="11" xfId="0" applyFill="1" applyBorder="1" applyAlignment="1">
      <alignment horizontal="center" vertical="center"/>
    </xf>
    <xf numFmtId="0" fontId="14" fillId="47" borderId="22" xfId="0" applyFont="1" applyFill="1" applyBorder="1" applyAlignment="1">
      <alignment horizontal="center" vertical="center" textRotation="90"/>
    </xf>
    <xf numFmtId="0" fontId="14" fillId="47" borderId="23" xfId="0" applyFont="1" applyFill="1" applyBorder="1" applyAlignment="1">
      <alignment horizontal="center" vertical="center" textRotation="90"/>
    </xf>
    <xf numFmtId="0" fontId="14" fillId="47" borderId="24" xfId="0" applyFont="1" applyFill="1" applyBorder="1" applyAlignment="1">
      <alignment horizontal="center" vertical="center" textRotation="90"/>
    </xf>
    <xf numFmtId="0" fontId="31" fillId="46" borderId="22" xfId="0" applyFont="1" applyFill="1" applyBorder="1" applyAlignment="1">
      <alignment horizontal="center" vertical="center" textRotation="90"/>
    </xf>
    <xf numFmtId="0" fontId="31" fillId="46" borderId="23" xfId="0" applyFont="1" applyFill="1" applyBorder="1" applyAlignment="1">
      <alignment horizontal="center" vertical="center" textRotation="90"/>
    </xf>
    <xf numFmtId="0" fontId="31" fillId="46" borderId="24" xfId="0" applyFont="1" applyFill="1" applyBorder="1" applyAlignment="1">
      <alignment horizontal="center" vertical="center" textRotation="90"/>
    </xf>
    <xf numFmtId="0" fontId="0" fillId="0" borderId="0" xfId="0" applyBorder="1"/>
    <xf numFmtId="0" fontId="0" fillId="0" borderId="35" xfId="0" applyBorder="1"/>
    <xf numFmtId="0" fontId="16" fillId="0" borderId="1" xfId="16" applyBorder="1" applyAlignment="1">
      <alignment horizontal="right" vertical="top" wrapText="1"/>
    </xf>
    <xf numFmtId="0" fontId="16" fillId="0" borderId="2" xfId="16" applyBorder="1" applyAlignment="1">
      <alignment horizontal="right" vertical="top" wrapText="1"/>
    </xf>
    <xf numFmtId="0" fontId="16" fillId="0" borderId="4" xfId="16" applyBorder="1" applyAlignment="1">
      <alignment horizontal="right" vertical="top" wrapText="1"/>
    </xf>
    <xf numFmtId="0" fontId="16" fillId="0" borderId="0" xfId="16" applyBorder="1" applyAlignment="1">
      <alignment horizontal="right" vertical="top" wrapText="1"/>
    </xf>
    <xf numFmtId="0" fontId="16" fillId="0" borderId="6" xfId="16" applyBorder="1" applyAlignment="1">
      <alignment horizontal="right" vertical="top" wrapText="1"/>
    </xf>
    <xf numFmtId="0" fontId="16" fillId="0" borderId="7" xfId="16" applyBorder="1" applyAlignment="1">
      <alignment horizontal="right" vertical="top" wrapText="1"/>
    </xf>
    <xf numFmtId="0" fontId="19" fillId="39" borderId="25" xfId="0" applyFont="1" applyFill="1" applyBorder="1" applyAlignment="1">
      <alignment horizontal="center" vertical="center"/>
    </xf>
    <xf numFmtId="0" fontId="19" fillId="39" borderId="26" xfId="0" applyFont="1" applyFill="1" applyBorder="1" applyAlignment="1">
      <alignment horizontal="center" vertical="center"/>
    </xf>
    <xf numFmtId="0" fontId="19" fillId="39" borderId="27" xfId="0" applyFont="1" applyFill="1" applyBorder="1" applyAlignment="1">
      <alignment horizontal="center" vertical="center"/>
    </xf>
    <xf numFmtId="0" fontId="19" fillId="35" borderId="25" xfId="0" applyFont="1" applyFill="1" applyBorder="1" applyAlignment="1">
      <alignment horizontal="center" vertical="center"/>
    </xf>
    <xf numFmtId="0" fontId="19" fillId="35" borderId="26" xfId="0" applyFont="1" applyFill="1" applyBorder="1" applyAlignment="1">
      <alignment horizontal="center" vertical="center"/>
    </xf>
    <xf numFmtId="0" fontId="19" fillId="35" borderId="27" xfId="0" applyFont="1" applyFill="1" applyBorder="1" applyAlignment="1">
      <alignment horizontal="center" vertical="center"/>
    </xf>
    <xf numFmtId="0" fontId="19" fillId="34" borderId="25" xfId="0" applyFont="1" applyFill="1" applyBorder="1" applyAlignment="1">
      <alignment horizontal="center" vertical="center"/>
    </xf>
    <xf numFmtId="0" fontId="19" fillId="34" borderId="26" xfId="0" applyFont="1" applyFill="1" applyBorder="1" applyAlignment="1">
      <alignment horizontal="center" vertical="center"/>
    </xf>
    <xf numFmtId="0" fontId="19" fillId="34" borderId="27" xfId="0" applyFont="1" applyFill="1" applyBorder="1" applyAlignment="1">
      <alignment horizontal="center" vertical="center"/>
    </xf>
    <xf numFmtId="0" fontId="19" fillId="33" borderId="25" xfId="0" applyFont="1" applyFill="1" applyBorder="1" applyAlignment="1">
      <alignment horizontal="center" vertical="center"/>
    </xf>
    <xf numFmtId="0" fontId="19" fillId="33" borderId="26" xfId="0" applyFont="1" applyFill="1" applyBorder="1" applyAlignment="1">
      <alignment horizontal="center" vertical="center"/>
    </xf>
    <xf numFmtId="0" fontId="19" fillId="33" borderId="27" xfId="0" applyFont="1" applyFill="1" applyBorder="1" applyAlignment="1">
      <alignment horizontal="center" vertical="center"/>
    </xf>
    <xf numFmtId="0" fontId="0" fillId="34" borderId="29" xfId="0" applyFill="1" applyBorder="1" applyAlignment="1">
      <alignment horizontal="center"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19" fillId="41" borderId="25" xfId="0" applyFont="1" applyFill="1" applyBorder="1" applyAlignment="1">
      <alignment horizontal="center" vertical="center"/>
    </xf>
    <xf numFmtId="0" fontId="19" fillId="41" borderId="26" xfId="0" applyFont="1" applyFill="1" applyBorder="1" applyAlignment="1">
      <alignment horizontal="center" vertical="center"/>
    </xf>
    <xf numFmtId="0" fontId="19" fillId="41" borderId="27" xfId="0" applyFont="1" applyFill="1" applyBorder="1" applyAlignment="1">
      <alignment horizontal="center" vertical="center"/>
    </xf>
    <xf numFmtId="0" fontId="0" fillId="41" borderId="28" xfId="0" applyFill="1" applyBorder="1" applyAlignment="1">
      <alignment horizontal="center" vertical="center"/>
    </xf>
    <xf numFmtId="0" fontId="0" fillId="41" borderId="29" xfId="0" applyFill="1" applyBorder="1" applyAlignment="1">
      <alignment horizontal="center" vertical="center"/>
    </xf>
    <xf numFmtId="0" fontId="0" fillId="39" borderId="28" xfId="0" applyFill="1" applyBorder="1" applyAlignment="1">
      <alignment horizontal="center" vertical="center"/>
    </xf>
    <xf numFmtId="0" fontId="0" fillId="39" borderId="29" xfId="0" applyFill="1" applyBorder="1" applyAlignment="1">
      <alignment horizontal="center" vertical="center"/>
    </xf>
    <xf numFmtId="0" fontId="0" fillId="35" borderId="28" xfId="0" applyFill="1" applyBorder="1" applyAlignment="1">
      <alignment horizontal="center" vertical="center"/>
    </xf>
    <xf numFmtId="0" fontId="0" fillId="35" borderId="29" xfId="0" applyFill="1" applyBorder="1" applyAlignment="1">
      <alignment horizontal="center" vertical="center"/>
    </xf>
    <xf numFmtId="0" fontId="0" fillId="34" borderId="28" xfId="0" applyFill="1" applyBorder="1" applyAlignment="1">
      <alignment horizontal="center" vertical="center"/>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Percent 2" xfId="43"/>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200"/>
              <a:t>Residential Heating Consumption</a:t>
            </a:r>
          </a:p>
          <a:p>
            <a:pPr>
              <a:defRPr/>
            </a:pPr>
            <a:r>
              <a:rPr lang="en-US" sz="1200"/>
              <a:t>(LEAP</a:t>
            </a:r>
            <a:r>
              <a:rPr lang="en-US" sz="1200" baseline="0"/>
              <a:t> Model Scenario)</a:t>
            </a:r>
            <a:endParaRPr lang="en-US" sz="1200"/>
          </a:p>
        </c:rich>
      </c:tx>
      <c:layout/>
    </c:title>
    <c:plotArea>
      <c:layout/>
      <c:barChart>
        <c:barDir val="col"/>
        <c:grouping val="clustered"/>
        <c:ser>
          <c:idx val="0"/>
          <c:order val="0"/>
          <c:tx>
            <c:strRef>
              <c:f>'C. Data- Charts for Plans'!$D$5</c:f>
              <c:strCache>
                <c:ptCount val="1"/>
                <c:pt idx="0">
                  <c:v>Reference (no action)</c:v>
                </c:pt>
              </c:strCache>
            </c:strRef>
          </c:tx>
          <c:cat>
            <c:numRef>
              <c:f>'C. Data- Charts for Plans'!$D$6:$G$6</c:f>
              <c:numCache>
                <c:formatCode>General</c:formatCode>
                <c:ptCount val="4"/>
                <c:pt idx="0">
                  <c:v>2015</c:v>
                </c:pt>
                <c:pt idx="1">
                  <c:v>2025</c:v>
                </c:pt>
                <c:pt idx="2">
                  <c:v>2035</c:v>
                </c:pt>
                <c:pt idx="3">
                  <c:v>2050</c:v>
                </c:pt>
              </c:numCache>
            </c:numRef>
          </c:cat>
          <c:val>
            <c:numRef>
              <c:f>'C. Data- Charts for Plans'!$D$10:$G$10</c:f>
              <c:numCache>
                <c:formatCode>0.0</c:formatCode>
                <c:ptCount val="4"/>
                <c:pt idx="0">
                  <c:v>24.132873543148978</c:v>
                </c:pt>
                <c:pt idx="1">
                  <c:v>21.774433628704873</c:v>
                </c:pt>
                <c:pt idx="2">
                  <c:v>19.44733510847265</c:v>
                </c:pt>
                <c:pt idx="3">
                  <c:v>16.078135230695359</c:v>
                </c:pt>
              </c:numCache>
            </c:numRef>
          </c:val>
        </c:ser>
        <c:ser>
          <c:idx val="1"/>
          <c:order val="1"/>
          <c:tx>
            <c:strRef>
              <c:f>'C. Data- Charts for Plans'!$H$5</c:f>
              <c:strCache>
                <c:ptCount val="1"/>
                <c:pt idx="0">
                  <c:v>90x50 Scenario</c:v>
                </c:pt>
              </c:strCache>
            </c:strRef>
          </c:tx>
          <c:cat>
            <c:numRef>
              <c:f>'C. Data- Charts for Plans'!$D$6:$G$6</c:f>
              <c:numCache>
                <c:formatCode>General</c:formatCode>
                <c:ptCount val="4"/>
                <c:pt idx="0">
                  <c:v>2015</c:v>
                </c:pt>
                <c:pt idx="1">
                  <c:v>2025</c:v>
                </c:pt>
                <c:pt idx="2">
                  <c:v>2035</c:v>
                </c:pt>
                <c:pt idx="3">
                  <c:v>2050</c:v>
                </c:pt>
              </c:numCache>
            </c:numRef>
          </c:cat>
          <c:val>
            <c:numRef>
              <c:f>'C. Data- Charts for Plans'!$H$10:$K$10</c:f>
              <c:numCache>
                <c:formatCode>0.0</c:formatCode>
                <c:ptCount val="4"/>
                <c:pt idx="0">
                  <c:v>23.780282858265309</c:v>
                </c:pt>
                <c:pt idx="1">
                  <c:v>20.489436466017722</c:v>
                </c:pt>
                <c:pt idx="2">
                  <c:v>16.751975206250819</c:v>
                </c:pt>
                <c:pt idx="3">
                  <c:v>11.572809812737351</c:v>
                </c:pt>
              </c:numCache>
            </c:numRef>
          </c:val>
        </c:ser>
        <c:axId val="58944512"/>
        <c:axId val="59513856"/>
      </c:barChart>
      <c:catAx>
        <c:axId val="58944512"/>
        <c:scaling>
          <c:orientation val="minMax"/>
        </c:scaling>
        <c:axPos val="b"/>
        <c:numFmt formatCode="General" sourceLinked="1"/>
        <c:tickLblPos val="nextTo"/>
        <c:crossAx val="59513856"/>
        <c:crosses val="autoZero"/>
        <c:auto val="1"/>
        <c:lblAlgn val="ctr"/>
        <c:lblOffset val="100"/>
      </c:catAx>
      <c:valAx>
        <c:axId val="59513856"/>
        <c:scaling>
          <c:orientation val="minMax"/>
        </c:scaling>
        <c:axPos val="l"/>
        <c:majorGridlines/>
        <c:title>
          <c:tx>
            <c:rich>
              <a:bodyPr rot="-5400000" vert="horz"/>
              <a:lstStyle/>
              <a:p>
                <a:pPr>
                  <a:defRPr/>
                </a:pPr>
                <a:r>
                  <a:rPr lang="en-US"/>
                  <a:t>Thousand MMBtu</a:t>
                </a:r>
              </a:p>
            </c:rich>
          </c:tx>
          <c:layout/>
        </c:title>
        <c:numFmt formatCode="0.0" sourceLinked="1"/>
        <c:tickLblPos val="nextTo"/>
        <c:crossAx val="58944512"/>
        <c:crosses val="autoZero"/>
        <c:crossBetween val="between"/>
      </c:valAx>
    </c:plotArea>
    <c:legend>
      <c:legendPos val="r"/>
      <c:layout/>
    </c:legend>
    <c:plotVisOnly val="1"/>
  </c:chart>
  <c:printSettings>
    <c:headerFooter/>
    <c:pageMargins b="0.75000000000000111" l="0.70000000000000062" r="0.70000000000000062" t="0.750000000000001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400"/>
              <a:t>Total Electricity Conserved</a:t>
            </a:r>
            <a:r>
              <a:rPr lang="en-US" sz="1400" baseline="0"/>
              <a:t> to Reach 90x50 Goals</a:t>
            </a:r>
            <a:endParaRPr lang="en-US" sz="1400"/>
          </a:p>
        </c:rich>
      </c:tx>
      <c:layout/>
    </c:title>
    <c:plotArea>
      <c:layout/>
      <c:barChart>
        <c:barDir val="col"/>
        <c:grouping val="clustered"/>
        <c:ser>
          <c:idx val="0"/>
          <c:order val="0"/>
          <c:tx>
            <c:v>Mbtu's</c:v>
          </c:tx>
          <c:cat>
            <c:numRef>
              <c:f>'C. Data- Charts for Plans'!$D$30:$G$30</c:f>
              <c:numCache>
                <c:formatCode>General</c:formatCode>
                <c:ptCount val="4"/>
                <c:pt idx="0">
                  <c:v>2015</c:v>
                </c:pt>
                <c:pt idx="1">
                  <c:v>2025</c:v>
                </c:pt>
                <c:pt idx="2">
                  <c:v>2035</c:v>
                </c:pt>
                <c:pt idx="3">
                  <c:v>2050</c:v>
                </c:pt>
              </c:numCache>
            </c:numRef>
          </c:cat>
          <c:val>
            <c:numRef>
              <c:f>'C. Data- Charts for Plans'!$AJ$32:$AM$32</c:f>
              <c:numCache>
                <c:formatCode>0</c:formatCode>
                <c:ptCount val="4"/>
                <c:pt idx="0">
                  <c:v>86.188834082674859</c:v>
                </c:pt>
                <c:pt idx="1">
                  <c:v>321.24929067178829</c:v>
                </c:pt>
                <c:pt idx="2">
                  <c:v>524.96835304902004</c:v>
                </c:pt>
                <c:pt idx="3">
                  <c:v>767.86415819110391</c:v>
                </c:pt>
              </c:numCache>
            </c:numRef>
          </c:val>
        </c:ser>
        <c:axId val="137677440"/>
        <c:axId val="138027392"/>
      </c:barChart>
      <c:catAx>
        <c:axId val="137677440"/>
        <c:scaling>
          <c:orientation val="minMax"/>
        </c:scaling>
        <c:axPos val="b"/>
        <c:numFmt formatCode="General" sourceLinked="1"/>
        <c:majorTickMark val="none"/>
        <c:tickLblPos val="nextTo"/>
        <c:crossAx val="138027392"/>
        <c:crosses val="autoZero"/>
        <c:auto val="1"/>
        <c:lblAlgn val="ctr"/>
        <c:lblOffset val="100"/>
      </c:catAx>
      <c:valAx>
        <c:axId val="138027392"/>
        <c:scaling>
          <c:orientation val="minMax"/>
        </c:scaling>
        <c:axPos val="l"/>
        <c:majorGridlines/>
        <c:title>
          <c:tx>
            <c:rich>
              <a:bodyPr rot="-5400000" vert="horz"/>
              <a:lstStyle/>
              <a:p>
                <a:pPr>
                  <a:defRPr/>
                </a:pPr>
                <a:r>
                  <a:rPr lang="en-US"/>
                  <a:t>Million Btu</a:t>
                </a:r>
              </a:p>
            </c:rich>
          </c:tx>
          <c:layout/>
        </c:title>
        <c:numFmt formatCode="0" sourceLinked="1"/>
        <c:majorTickMark val="none"/>
        <c:tickLblPos val="nextTo"/>
        <c:crossAx val="137677440"/>
        <c:crosses val="autoZero"/>
        <c:crossBetween val="between"/>
      </c:valAx>
    </c:plotArea>
    <c:legend>
      <c:legendPos val="r"/>
      <c:layout/>
    </c:legend>
    <c:plotVisOnly val="1"/>
  </c:chart>
  <c:printSettings>
    <c:headerFooter/>
    <c:pageMargins b="0.75000000000000222" l="0.70000000000000062" r="0.70000000000000062" t="0.750000000000002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200"/>
              <a:t>Total Commercial Consumption</a:t>
            </a:r>
          </a:p>
          <a:p>
            <a:pPr>
              <a:defRPr/>
            </a:pPr>
            <a:r>
              <a:rPr lang="en-US" sz="1200"/>
              <a:t>(LEAP</a:t>
            </a:r>
            <a:r>
              <a:rPr lang="en-US" sz="1200" baseline="0"/>
              <a:t> Model Scenario)</a:t>
            </a:r>
            <a:endParaRPr lang="en-US" sz="1200"/>
          </a:p>
        </c:rich>
      </c:tx>
      <c:layout/>
    </c:title>
    <c:plotArea>
      <c:layout/>
      <c:barChart>
        <c:barDir val="col"/>
        <c:grouping val="clustered"/>
        <c:ser>
          <c:idx val="0"/>
          <c:order val="0"/>
          <c:tx>
            <c:strRef>
              <c:f>'C. Data- Charts for Plans'!$D$5</c:f>
              <c:strCache>
                <c:ptCount val="1"/>
                <c:pt idx="0">
                  <c:v>Reference (no action)</c:v>
                </c:pt>
              </c:strCache>
            </c:strRef>
          </c:tx>
          <c:cat>
            <c:numRef>
              <c:f>'C. Data- Charts for Plans'!$D$6:$G$6</c:f>
              <c:numCache>
                <c:formatCode>General</c:formatCode>
                <c:ptCount val="4"/>
                <c:pt idx="0">
                  <c:v>2015</c:v>
                </c:pt>
                <c:pt idx="1">
                  <c:v>2025</c:v>
                </c:pt>
                <c:pt idx="2">
                  <c:v>2035</c:v>
                </c:pt>
                <c:pt idx="3">
                  <c:v>2050</c:v>
                </c:pt>
              </c:numCache>
            </c:numRef>
          </c:cat>
          <c:val>
            <c:numRef>
              <c:f>'C. Data- Charts for Plans'!$L$10:$O$10</c:f>
              <c:numCache>
                <c:formatCode>0.0</c:formatCode>
                <c:ptCount val="4"/>
                <c:pt idx="0">
                  <c:v>10.084093587672966</c:v>
                </c:pt>
                <c:pt idx="1">
                  <c:v>10.115434981884848</c:v>
                </c:pt>
                <c:pt idx="2">
                  <c:v>9.9352219651665283</c:v>
                </c:pt>
                <c:pt idx="3">
                  <c:v>9.8411977825308821</c:v>
                </c:pt>
              </c:numCache>
            </c:numRef>
          </c:val>
        </c:ser>
        <c:ser>
          <c:idx val="1"/>
          <c:order val="1"/>
          <c:tx>
            <c:strRef>
              <c:f>'C. Data- Charts for Plans'!$H$5</c:f>
              <c:strCache>
                <c:ptCount val="1"/>
                <c:pt idx="0">
                  <c:v>90x50 Scenario</c:v>
                </c:pt>
              </c:strCache>
            </c:strRef>
          </c:tx>
          <c:cat>
            <c:numRef>
              <c:f>'C. Data- Charts for Plans'!$D$6:$G$6</c:f>
              <c:numCache>
                <c:formatCode>General</c:formatCode>
                <c:ptCount val="4"/>
                <c:pt idx="0">
                  <c:v>2015</c:v>
                </c:pt>
                <c:pt idx="1">
                  <c:v>2025</c:v>
                </c:pt>
                <c:pt idx="2">
                  <c:v>2035</c:v>
                </c:pt>
                <c:pt idx="3">
                  <c:v>2050</c:v>
                </c:pt>
              </c:numCache>
            </c:numRef>
          </c:cat>
          <c:val>
            <c:numRef>
              <c:f>'C. Data- Charts for Plans'!$P$10:$S$10</c:f>
              <c:numCache>
                <c:formatCode>0.0</c:formatCode>
                <c:ptCount val="4"/>
                <c:pt idx="0">
                  <c:v>10.005740102143262</c:v>
                </c:pt>
                <c:pt idx="1">
                  <c:v>9.5747959317298879</c:v>
                </c:pt>
                <c:pt idx="2">
                  <c:v>8.9322973503863103</c:v>
                </c:pt>
                <c:pt idx="3">
                  <c:v>8.0547383124536207</c:v>
                </c:pt>
              </c:numCache>
            </c:numRef>
          </c:val>
        </c:ser>
        <c:axId val="67012864"/>
        <c:axId val="67035136"/>
      </c:barChart>
      <c:catAx>
        <c:axId val="67012864"/>
        <c:scaling>
          <c:orientation val="minMax"/>
        </c:scaling>
        <c:axPos val="b"/>
        <c:numFmt formatCode="General" sourceLinked="1"/>
        <c:tickLblPos val="nextTo"/>
        <c:crossAx val="67035136"/>
        <c:crosses val="autoZero"/>
        <c:auto val="1"/>
        <c:lblAlgn val="ctr"/>
        <c:lblOffset val="100"/>
      </c:catAx>
      <c:valAx>
        <c:axId val="67035136"/>
        <c:scaling>
          <c:orientation val="minMax"/>
        </c:scaling>
        <c:axPos val="l"/>
        <c:majorGridlines/>
        <c:title>
          <c:tx>
            <c:rich>
              <a:bodyPr rot="-5400000" vert="horz"/>
              <a:lstStyle/>
              <a:p>
                <a:pPr>
                  <a:defRPr/>
                </a:pPr>
                <a:r>
                  <a:rPr lang="en-US"/>
                  <a:t>Thousand MMBtu</a:t>
                </a:r>
              </a:p>
            </c:rich>
          </c:tx>
          <c:layout/>
        </c:title>
        <c:numFmt formatCode="0.0" sourceLinked="1"/>
        <c:tickLblPos val="nextTo"/>
        <c:crossAx val="67012864"/>
        <c:crosses val="autoZero"/>
        <c:crossBetween val="between"/>
      </c:valAx>
    </c:plotArea>
    <c:legend>
      <c:legendPos val="r"/>
      <c:layout/>
    </c:legend>
    <c:plotVisOnly val="1"/>
  </c:chart>
  <c:printSettings>
    <c:headerFooter/>
    <c:pageMargins b="0.75000000000000155" l="0.70000000000000062" r="0.70000000000000062" t="0.750000000000001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400"/>
              <a:t>Residential</a:t>
            </a:r>
            <a:r>
              <a:rPr lang="en-US" sz="1400" baseline="0"/>
              <a:t> Heat Energy </a:t>
            </a:r>
            <a:r>
              <a:rPr lang="en-US" sz="1400"/>
              <a:t> Conserved</a:t>
            </a:r>
            <a:r>
              <a:rPr lang="en-US" sz="1400" baseline="0"/>
              <a:t> to Reach 90x50 Goals</a:t>
            </a:r>
            <a:endParaRPr lang="en-US" sz="1400"/>
          </a:p>
        </c:rich>
      </c:tx>
      <c:layout/>
    </c:title>
    <c:plotArea>
      <c:layout/>
      <c:barChart>
        <c:barDir val="col"/>
        <c:grouping val="clustered"/>
        <c:ser>
          <c:idx val="0"/>
          <c:order val="0"/>
          <c:tx>
            <c:v>Mbtu's</c:v>
          </c:tx>
          <c:cat>
            <c:numRef>
              <c:f>'C. Data- Charts for Plans'!$D$30:$G$30</c:f>
              <c:numCache>
                <c:formatCode>General</c:formatCode>
                <c:ptCount val="4"/>
                <c:pt idx="0">
                  <c:v>2015</c:v>
                </c:pt>
                <c:pt idx="1">
                  <c:v>2025</c:v>
                </c:pt>
                <c:pt idx="2">
                  <c:v>2035</c:v>
                </c:pt>
                <c:pt idx="3">
                  <c:v>2050</c:v>
                </c:pt>
              </c:numCache>
            </c:numRef>
          </c:cat>
          <c:val>
            <c:numRef>
              <c:f>'C. Data- Charts for Plans'!$D$32:$G$32</c:f>
              <c:numCache>
                <c:formatCode>0</c:formatCode>
                <c:ptCount val="4"/>
                <c:pt idx="0">
                  <c:v>352.59068488366904</c:v>
                </c:pt>
                <c:pt idx="1">
                  <c:v>1284.9971626871516</c:v>
                </c:pt>
                <c:pt idx="2">
                  <c:v>2695.3599022218314</c:v>
                </c:pt>
                <c:pt idx="3">
                  <c:v>4505.325417958009</c:v>
                </c:pt>
              </c:numCache>
            </c:numRef>
          </c:val>
        </c:ser>
        <c:axId val="83074432"/>
        <c:axId val="83334272"/>
      </c:barChart>
      <c:catAx>
        <c:axId val="83074432"/>
        <c:scaling>
          <c:orientation val="minMax"/>
        </c:scaling>
        <c:axPos val="b"/>
        <c:numFmt formatCode="General" sourceLinked="1"/>
        <c:majorTickMark val="none"/>
        <c:tickLblPos val="nextTo"/>
        <c:crossAx val="83334272"/>
        <c:crosses val="autoZero"/>
        <c:auto val="1"/>
        <c:lblAlgn val="ctr"/>
        <c:lblOffset val="100"/>
      </c:catAx>
      <c:valAx>
        <c:axId val="83334272"/>
        <c:scaling>
          <c:orientation val="minMax"/>
        </c:scaling>
        <c:axPos val="l"/>
        <c:majorGridlines/>
        <c:title>
          <c:tx>
            <c:rich>
              <a:bodyPr rot="-5400000" vert="horz"/>
              <a:lstStyle/>
              <a:p>
                <a:pPr>
                  <a:defRPr/>
                </a:pPr>
                <a:r>
                  <a:rPr lang="en-US"/>
                  <a:t>Million Btu</a:t>
                </a:r>
              </a:p>
            </c:rich>
          </c:tx>
          <c:layout/>
        </c:title>
        <c:numFmt formatCode="0" sourceLinked="1"/>
        <c:majorTickMark val="none"/>
        <c:tickLblPos val="nextTo"/>
        <c:crossAx val="83074432"/>
        <c:crosses val="autoZero"/>
        <c:crossBetween val="between"/>
      </c:valAx>
    </c:plotArea>
    <c:legend>
      <c:legendPos val="r"/>
      <c:layout/>
    </c:legend>
    <c:plotVisOnly val="1"/>
  </c:chart>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400"/>
              <a:t>Commercial </a:t>
            </a:r>
            <a:r>
              <a:rPr lang="en-US" sz="1400" baseline="0"/>
              <a:t>Energy </a:t>
            </a:r>
            <a:r>
              <a:rPr lang="en-US" sz="1400"/>
              <a:t> Conserved</a:t>
            </a:r>
            <a:r>
              <a:rPr lang="en-US" sz="1400" baseline="0"/>
              <a:t> to Reach 90x50 Goals</a:t>
            </a:r>
            <a:endParaRPr lang="en-US" sz="1400"/>
          </a:p>
        </c:rich>
      </c:tx>
      <c:layout/>
    </c:title>
    <c:plotArea>
      <c:layout/>
      <c:barChart>
        <c:barDir val="col"/>
        <c:grouping val="clustered"/>
        <c:ser>
          <c:idx val="0"/>
          <c:order val="0"/>
          <c:tx>
            <c:v>Mbtu's</c:v>
          </c:tx>
          <c:cat>
            <c:numRef>
              <c:f>'C. Data- Charts for Plans'!$D$30:$G$30</c:f>
              <c:numCache>
                <c:formatCode>General</c:formatCode>
                <c:ptCount val="4"/>
                <c:pt idx="0">
                  <c:v>2015</c:v>
                </c:pt>
                <c:pt idx="1">
                  <c:v>2025</c:v>
                </c:pt>
                <c:pt idx="2">
                  <c:v>2035</c:v>
                </c:pt>
                <c:pt idx="3">
                  <c:v>2050</c:v>
                </c:pt>
              </c:numCache>
            </c:numRef>
          </c:cat>
          <c:val>
            <c:numRef>
              <c:f>'C. Data- Charts for Plans'!$L$32:$O$32</c:f>
              <c:numCache>
                <c:formatCode>0</c:formatCode>
                <c:ptCount val="4"/>
                <c:pt idx="0">
                  <c:v>78.353485529703448</c:v>
                </c:pt>
                <c:pt idx="1">
                  <c:v>540.63905015495982</c:v>
                </c:pt>
                <c:pt idx="2">
                  <c:v>1002.924614780218</c:v>
                </c:pt>
                <c:pt idx="3">
                  <c:v>1786.4594700772614</c:v>
                </c:pt>
              </c:numCache>
            </c:numRef>
          </c:val>
        </c:ser>
        <c:axId val="83720832"/>
        <c:axId val="83887616"/>
      </c:barChart>
      <c:catAx>
        <c:axId val="83720832"/>
        <c:scaling>
          <c:orientation val="minMax"/>
        </c:scaling>
        <c:axPos val="b"/>
        <c:numFmt formatCode="General" sourceLinked="1"/>
        <c:majorTickMark val="none"/>
        <c:tickLblPos val="nextTo"/>
        <c:crossAx val="83887616"/>
        <c:crosses val="autoZero"/>
        <c:auto val="1"/>
        <c:lblAlgn val="ctr"/>
        <c:lblOffset val="100"/>
      </c:catAx>
      <c:valAx>
        <c:axId val="83887616"/>
        <c:scaling>
          <c:orientation val="minMax"/>
        </c:scaling>
        <c:axPos val="l"/>
        <c:majorGridlines/>
        <c:title>
          <c:tx>
            <c:rich>
              <a:bodyPr rot="-5400000" vert="horz"/>
              <a:lstStyle/>
              <a:p>
                <a:pPr>
                  <a:defRPr/>
                </a:pPr>
                <a:r>
                  <a:rPr lang="en-US"/>
                  <a:t>Million Btu</a:t>
                </a:r>
              </a:p>
            </c:rich>
          </c:tx>
          <c:layout/>
        </c:title>
        <c:numFmt formatCode="0" sourceLinked="1"/>
        <c:majorTickMark val="none"/>
        <c:tickLblPos val="nextTo"/>
        <c:crossAx val="83720832"/>
        <c:crosses val="autoZero"/>
        <c:crossBetween val="between"/>
      </c:valAx>
    </c:plotArea>
    <c:legend>
      <c:legendPos val="r"/>
      <c:layout/>
    </c:legend>
    <c:plotVisOnly val="1"/>
  </c:chart>
  <c:printSettings>
    <c:headerFooter/>
    <c:pageMargins b="0.75000000000000133" l="0.70000000000000062" r="0.70000000000000062" t="0.750000000000001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200"/>
              <a:t>Light-Duty Vehicle Consumption</a:t>
            </a:r>
          </a:p>
          <a:p>
            <a:pPr>
              <a:defRPr/>
            </a:pPr>
            <a:r>
              <a:rPr lang="en-US" sz="1200"/>
              <a:t>(LEAP</a:t>
            </a:r>
            <a:r>
              <a:rPr lang="en-US" sz="1200" baseline="0"/>
              <a:t> Model Scenario)</a:t>
            </a:r>
            <a:endParaRPr lang="en-US" sz="1200"/>
          </a:p>
        </c:rich>
      </c:tx>
      <c:layout/>
    </c:title>
    <c:plotArea>
      <c:layout/>
      <c:barChart>
        <c:barDir val="col"/>
        <c:grouping val="clustered"/>
        <c:ser>
          <c:idx val="0"/>
          <c:order val="0"/>
          <c:tx>
            <c:strRef>
              <c:f>'C. Data- Charts for Plans'!$D$5</c:f>
              <c:strCache>
                <c:ptCount val="1"/>
                <c:pt idx="0">
                  <c:v>Reference (no action)</c:v>
                </c:pt>
              </c:strCache>
            </c:strRef>
          </c:tx>
          <c:cat>
            <c:numRef>
              <c:f>'C. Data- Charts for Plans'!$D$6:$G$6</c:f>
              <c:numCache>
                <c:formatCode>General</c:formatCode>
                <c:ptCount val="4"/>
                <c:pt idx="0">
                  <c:v>2015</c:v>
                </c:pt>
                <c:pt idx="1">
                  <c:v>2025</c:v>
                </c:pt>
                <c:pt idx="2">
                  <c:v>2035</c:v>
                </c:pt>
                <c:pt idx="3">
                  <c:v>2050</c:v>
                </c:pt>
              </c:numCache>
            </c:numRef>
          </c:cat>
          <c:val>
            <c:numRef>
              <c:f>'C. Data- Charts for Plans'!$T$10:$W$10</c:f>
              <c:numCache>
                <c:formatCode>0.0</c:formatCode>
                <c:ptCount val="4"/>
                <c:pt idx="0">
                  <c:v>19.321969531625125</c:v>
                </c:pt>
                <c:pt idx="1">
                  <c:v>15.882251516871097</c:v>
                </c:pt>
                <c:pt idx="2">
                  <c:v>13.798048801780959</c:v>
                </c:pt>
                <c:pt idx="3">
                  <c:v>12.074272120127461</c:v>
                </c:pt>
              </c:numCache>
            </c:numRef>
          </c:val>
        </c:ser>
        <c:ser>
          <c:idx val="1"/>
          <c:order val="1"/>
          <c:tx>
            <c:strRef>
              <c:f>'C. Data- Charts for Plans'!$H$5</c:f>
              <c:strCache>
                <c:ptCount val="1"/>
                <c:pt idx="0">
                  <c:v>90x50 Scenario</c:v>
                </c:pt>
              </c:strCache>
            </c:strRef>
          </c:tx>
          <c:cat>
            <c:numRef>
              <c:f>'C. Data- Charts for Plans'!$D$6:$G$6</c:f>
              <c:numCache>
                <c:formatCode>General</c:formatCode>
                <c:ptCount val="4"/>
                <c:pt idx="0">
                  <c:v>2015</c:v>
                </c:pt>
                <c:pt idx="1">
                  <c:v>2025</c:v>
                </c:pt>
                <c:pt idx="2">
                  <c:v>2035</c:v>
                </c:pt>
                <c:pt idx="3">
                  <c:v>2050</c:v>
                </c:pt>
              </c:numCache>
            </c:numRef>
          </c:cat>
          <c:val>
            <c:numRef>
              <c:f>'C. Data- Charts for Plans'!$X$10:$AA$10</c:f>
              <c:numCache>
                <c:formatCode>0.0</c:formatCode>
                <c:ptCount val="4"/>
                <c:pt idx="0">
                  <c:v>19.353310925837008</c:v>
                </c:pt>
                <c:pt idx="1">
                  <c:v>15.451307346457723</c:v>
                </c:pt>
                <c:pt idx="2">
                  <c:v>9.4102536121175078</c:v>
                </c:pt>
                <c:pt idx="3">
                  <c:v>3.8863328822733423</c:v>
                </c:pt>
              </c:numCache>
            </c:numRef>
          </c:val>
        </c:ser>
        <c:axId val="84414848"/>
        <c:axId val="84416768"/>
      </c:barChart>
      <c:catAx>
        <c:axId val="84414848"/>
        <c:scaling>
          <c:orientation val="minMax"/>
        </c:scaling>
        <c:axPos val="b"/>
        <c:numFmt formatCode="General" sourceLinked="1"/>
        <c:tickLblPos val="nextTo"/>
        <c:crossAx val="84416768"/>
        <c:crosses val="autoZero"/>
        <c:auto val="1"/>
        <c:lblAlgn val="ctr"/>
        <c:lblOffset val="100"/>
      </c:catAx>
      <c:valAx>
        <c:axId val="84416768"/>
        <c:scaling>
          <c:orientation val="minMax"/>
        </c:scaling>
        <c:axPos val="l"/>
        <c:majorGridlines/>
        <c:title>
          <c:tx>
            <c:rich>
              <a:bodyPr rot="-5400000" vert="horz"/>
              <a:lstStyle/>
              <a:p>
                <a:pPr>
                  <a:defRPr/>
                </a:pPr>
                <a:r>
                  <a:rPr lang="en-US"/>
                  <a:t>Thousand MMBtu</a:t>
                </a:r>
              </a:p>
            </c:rich>
          </c:tx>
          <c:layout/>
        </c:title>
        <c:numFmt formatCode="0.0" sourceLinked="1"/>
        <c:tickLblPos val="nextTo"/>
        <c:crossAx val="84414848"/>
        <c:crosses val="autoZero"/>
        <c:crossBetween val="between"/>
      </c:valAx>
    </c:plotArea>
    <c:legend>
      <c:legendPos val="r"/>
      <c:layout/>
    </c:legend>
    <c:plotVisOnly val="1"/>
  </c:chart>
  <c:printSettings>
    <c:headerFooter/>
    <c:pageMargins b="0.75000000000000178" l="0.70000000000000062" r="0.70000000000000062" t="0.750000000000001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400"/>
              <a:t>Light-Duty Vehicle </a:t>
            </a:r>
            <a:r>
              <a:rPr lang="en-US" sz="1400" baseline="0"/>
              <a:t>Energy </a:t>
            </a:r>
            <a:r>
              <a:rPr lang="en-US" sz="1400"/>
              <a:t> Conserved</a:t>
            </a:r>
            <a:r>
              <a:rPr lang="en-US" sz="1400" baseline="0"/>
              <a:t> to Reach 90x50 Goals</a:t>
            </a:r>
            <a:endParaRPr lang="en-US" sz="1400"/>
          </a:p>
        </c:rich>
      </c:tx>
      <c:layout/>
    </c:title>
    <c:plotArea>
      <c:layout/>
      <c:barChart>
        <c:barDir val="col"/>
        <c:grouping val="clustered"/>
        <c:ser>
          <c:idx val="0"/>
          <c:order val="0"/>
          <c:tx>
            <c:v>Mbtu's</c:v>
          </c:tx>
          <c:cat>
            <c:numRef>
              <c:f>'C. Data- Charts for Plans'!$D$30:$G$30</c:f>
              <c:numCache>
                <c:formatCode>General</c:formatCode>
                <c:ptCount val="4"/>
                <c:pt idx="0">
                  <c:v>2015</c:v>
                </c:pt>
                <c:pt idx="1">
                  <c:v>2025</c:v>
                </c:pt>
                <c:pt idx="2">
                  <c:v>2035</c:v>
                </c:pt>
                <c:pt idx="3">
                  <c:v>2050</c:v>
                </c:pt>
              </c:numCache>
            </c:numRef>
          </c:cat>
          <c:val>
            <c:numRef>
              <c:f>'C. Data- Charts for Plans'!$T$32:$W$32</c:f>
              <c:numCache>
                <c:formatCode>0</c:formatCode>
                <c:ptCount val="4"/>
                <c:pt idx="0">
                  <c:v>0</c:v>
                </c:pt>
                <c:pt idx="1">
                  <c:v>430.94417041337431</c:v>
                </c:pt>
                <c:pt idx="2">
                  <c:v>4387.7951896634513</c:v>
                </c:pt>
                <c:pt idx="3">
                  <c:v>8187.9392378541188</c:v>
                </c:pt>
              </c:numCache>
            </c:numRef>
          </c:val>
        </c:ser>
        <c:axId val="100084736"/>
        <c:axId val="100131584"/>
      </c:barChart>
      <c:catAx>
        <c:axId val="100084736"/>
        <c:scaling>
          <c:orientation val="minMax"/>
        </c:scaling>
        <c:axPos val="b"/>
        <c:numFmt formatCode="General" sourceLinked="1"/>
        <c:majorTickMark val="none"/>
        <c:tickLblPos val="nextTo"/>
        <c:crossAx val="100131584"/>
        <c:crosses val="autoZero"/>
        <c:auto val="1"/>
        <c:lblAlgn val="ctr"/>
        <c:lblOffset val="100"/>
      </c:catAx>
      <c:valAx>
        <c:axId val="100131584"/>
        <c:scaling>
          <c:orientation val="minMax"/>
        </c:scaling>
        <c:axPos val="l"/>
        <c:majorGridlines/>
        <c:title>
          <c:tx>
            <c:rich>
              <a:bodyPr rot="-5400000" vert="horz"/>
              <a:lstStyle/>
              <a:p>
                <a:pPr>
                  <a:defRPr/>
                </a:pPr>
                <a:r>
                  <a:rPr lang="en-US"/>
                  <a:t>Million Btu</a:t>
                </a:r>
              </a:p>
            </c:rich>
          </c:tx>
          <c:layout/>
        </c:title>
        <c:numFmt formatCode="0" sourceLinked="1"/>
        <c:majorTickMark val="none"/>
        <c:tickLblPos val="nextTo"/>
        <c:crossAx val="100084736"/>
        <c:crosses val="autoZero"/>
        <c:crossBetween val="between"/>
      </c:valAx>
    </c:plotArea>
    <c:legend>
      <c:legendPos val="r"/>
      <c:layout/>
    </c:legend>
    <c:plotVisOnly val="1"/>
  </c:chart>
  <c:printSettings>
    <c:headerFooter/>
    <c:pageMargins b="0.75000000000000178" l="0.70000000000000062" r="0.70000000000000062" t="0.750000000000001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200"/>
              <a:t>Heavy-Duty Vehicle Consumption</a:t>
            </a:r>
          </a:p>
          <a:p>
            <a:pPr>
              <a:defRPr/>
            </a:pPr>
            <a:r>
              <a:rPr lang="en-US" sz="1200"/>
              <a:t>(LEAP</a:t>
            </a:r>
            <a:r>
              <a:rPr lang="en-US" sz="1200" baseline="0"/>
              <a:t> Model Scenario)</a:t>
            </a:r>
            <a:endParaRPr lang="en-US" sz="1200"/>
          </a:p>
        </c:rich>
      </c:tx>
      <c:layout/>
    </c:title>
    <c:plotArea>
      <c:layout/>
      <c:barChart>
        <c:barDir val="col"/>
        <c:grouping val="clustered"/>
        <c:ser>
          <c:idx val="0"/>
          <c:order val="0"/>
          <c:tx>
            <c:strRef>
              <c:f>'C. Data- Charts for Plans'!$D$5</c:f>
              <c:strCache>
                <c:ptCount val="1"/>
                <c:pt idx="0">
                  <c:v>Reference (no action)</c:v>
                </c:pt>
              </c:strCache>
            </c:strRef>
          </c:tx>
          <c:cat>
            <c:numRef>
              <c:f>'C. Data- Charts for Plans'!$D$6:$G$6</c:f>
              <c:numCache>
                <c:formatCode>General</c:formatCode>
                <c:ptCount val="4"/>
                <c:pt idx="0">
                  <c:v>2015</c:v>
                </c:pt>
                <c:pt idx="1">
                  <c:v>2025</c:v>
                </c:pt>
                <c:pt idx="2">
                  <c:v>2035</c:v>
                </c:pt>
                <c:pt idx="3">
                  <c:v>2050</c:v>
                </c:pt>
              </c:numCache>
            </c:numRef>
          </c:cat>
          <c:val>
            <c:numRef>
              <c:f>'C. Data- Charts for Plans'!$AB$10:$AE$10</c:f>
              <c:numCache>
                <c:formatCode>0.0</c:formatCode>
                <c:ptCount val="4"/>
                <c:pt idx="0">
                  <c:v>4.9049281941595</c:v>
                </c:pt>
                <c:pt idx="1">
                  <c:v>5.4612379414204018</c:v>
                </c:pt>
                <c:pt idx="2">
                  <c:v>5.790322580645161</c:v>
                </c:pt>
                <c:pt idx="3">
                  <c:v>5.8216639748570431</c:v>
                </c:pt>
              </c:numCache>
            </c:numRef>
          </c:val>
        </c:ser>
        <c:ser>
          <c:idx val="1"/>
          <c:order val="1"/>
          <c:tx>
            <c:strRef>
              <c:f>'C. Data- Charts for Plans'!$H$5</c:f>
              <c:strCache>
                <c:ptCount val="1"/>
                <c:pt idx="0">
                  <c:v>90x50 Scenario</c:v>
                </c:pt>
              </c:strCache>
            </c:strRef>
          </c:tx>
          <c:cat>
            <c:numRef>
              <c:f>'C. Data- Charts for Plans'!$D$6:$G$6</c:f>
              <c:numCache>
                <c:formatCode>General</c:formatCode>
                <c:ptCount val="4"/>
                <c:pt idx="0">
                  <c:v>2015</c:v>
                </c:pt>
                <c:pt idx="1">
                  <c:v>2025</c:v>
                </c:pt>
                <c:pt idx="2">
                  <c:v>2035</c:v>
                </c:pt>
                <c:pt idx="3">
                  <c:v>2050</c:v>
                </c:pt>
              </c:numCache>
            </c:numRef>
          </c:cat>
          <c:val>
            <c:numRef>
              <c:f>'C. Data- Charts for Plans'!$AF$10:$AI$10</c:f>
              <c:numCache>
                <c:formatCode>0.0</c:formatCode>
                <c:ptCount val="4"/>
                <c:pt idx="0">
                  <c:v>4.7325505259941503</c:v>
                </c:pt>
                <c:pt idx="1">
                  <c:v>4.5993496005936532</c:v>
                </c:pt>
                <c:pt idx="2">
                  <c:v>4.5288314636169185</c:v>
                </c:pt>
                <c:pt idx="3">
                  <c:v>4.5131607665109783</c:v>
                </c:pt>
              </c:numCache>
            </c:numRef>
          </c:val>
        </c:ser>
        <c:axId val="113989504"/>
        <c:axId val="114098944"/>
      </c:barChart>
      <c:catAx>
        <c:axId val="113989504"/>
        <c:scaling>
          <c:orientation val="minMax"/>
        </c:scaling>
        <c:axPos val="b"/>
        <c:numFmt formatCode="General" sourceLinked="1"/>
        <c:tickLblPos val="nextTo"/>
        <c:crossAx val="114098944"/>
        <c:crosses val="autoZero"/>
        <c:auto val="1"/>
        <c:lblAlgn val="ctr"/>
        <c:lblOffset val="100"/>
      </c:catAx>
      <c:valAx>
        <c:axId val="114098944"/>
        <c:scaling>
          <c:orientation val="minMax"/>
        </c:scaling>
        <c:axPos val="l"/>
        <c:majorGridlines/>
        <c:title>
          <c:tx>
            <c:rich>
              <a:bodyPr rot="-5400000" vert="horz"/>
              <a:lstStyle/>
              <a:p>
                <a:pPr>
                  <a:defRPr/>
                </a:pPr>
                <a:r>
                  <a:rPr lang="en-US"/>
                  <a:t>Thousand MMBtu</a:t>
                </a:r>
              </a:p>
            </c:rich>
          </c:tx>
          <c:layout/>
        </c:title>
        <c:numFmt formatCode="0.0" sourceLinked="1"/>
        <c:tickLblPos val="nextTo"/>
        <c:crossAx val="113989504"/>
        <c:crosses val="autoZero"/>
        <c:crossBetween val="between"/>
      </c:valAx>
    </c:plotArea>
    <c:legend>
      <c:legendPos val="r"/>
      <c:layout/>
    </c:legend>
    <c:plotVisOnly val="1"/>
  </c:chart>
  <c:printSettings>
    <c:headerFooter/>
    <c:pageMargins b="0.750000000000002" l="0.70000000000000062" r="0.70000000000000062" t="0.75000000000000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400"/>
              <a:t>Heavy-Duty Vehicle </a:t>
            </a:r>
            <a:r>
              <a:rPr lang="en-US" sz="1400" baseline="0"/>
              <a:t>Energy </a:t>
            </a:r>
            <a:r>
              <a:rPr lang="en-US" sz="1400"/>
              <a:t>Conserved</a:t>
            </a:r>
            <a:r>
              <a:rPr lang="en-US" sz="1400" baseline="0"/>
              <a:t> to Reach 90x50 Goals</a:t>
            </a:r>
            <a:endParaRPr lang="en-US" sz="1400"/>
          </a:p>
        </c:rich>
      </c:tx>
      <c:layout/>
    </c:title>
    <c:plotArea>
      <c:layout/>
      <c:barChart>
        <c:barDir val="col"/>
        <c:grouping val="clustered"/>
        <c:ser>
          <c:idx val="0"/>
          <c:order val="0"/>
          <c:tx>
            <c:v>Mbtu's</c:v>
          </c:tx>
          <c:cat>
            <c:numRef>
              <c:f>'C. Data- Charts for Plans'!$D$30:$G$30</c:f>
              <c:numCache>
                <c:formatCode>General</c:formatCode>
                <c:ptCount val="4"/>
                <c:pt idx="0">
                  <c:v>2015</c:v>
                </c:pt>
                <c:pt idx="1">
                  <c:v>2025</c:v>
                </c:pt>
                <c:pt idx="2">
                  <c:v>2035</c:v>
                </c:pt>
                <c:pt idx="3">
                  <c:v>2050</c:v>
                </c:pt>
              </c:numCache>
            </c:numRef>
          </c:cat>
          <c:val>
            <c:numRef>
              <c:f>'C. Data- Charts for Plans'!$AB$32:$AE$32</c:f>
              <c:numCache>
                <c:formatCode>0</c:formatCode>
                <c:ptCount val="4"/>
                <c:pt idx="0">
                  <c:v>172.37766816534972</c:v>
                </c:pt>
                <c:pt idx="1">
                  <c:v>861.88834082674862</c:v>
                </c:pt>
                <c:pt idx="2">
                  <c:v>1261.4911170282426</c:v>
                </c:pt>
                <c:pt idx="3">
                  <c:v>1308.5032083460649</c:v>
                </c:pt>
              </c:numCache>
            </c:numRef>
          </c:val>
        </c:ser>
        <c:axId val="115516928"/>
        <c:axId val="115527040"/>
      </c:barChart>
      <c:catAx>
        <c:axId val="115516928"/>
        <c:scaling>
          <c:orientation val="minMax"/>
        </c:scaling>
        <c:axPos val="b"/>
        <c:numFmt formatCode="General" sourceLinked="1"/>
        <c:majorTickMark val="none"/>
        <c:tickLblPos val="nextTo"/>
        <c:crossAx val="115527040"/>
        <c:crosses val="autoZero"/>
        <c:auto val="1"/>
        <c:lblAlgn val="ctr"/>
        <c:lblOffset val="100"/>
      </c:catAx>
      <c:valAx>
        <c:axId val="115527040"/>
        <c:scaling>
          <c:orientation val="minMax"/>
        </c:scaling>
        <c:axPos val="l"/>
        <c:majorGridlines/>
        <c:title>
          <c:tx>
            <c:rich>
              <a:bodyPr rot="-5400000" vert="horz"/>
              <a:lstStyle/>
              <a:p>
                <a:pPr>
                  <a:defRPr/>
                </a:pPr>
                <a:r>
                  <a:rPr lang="en-US"/>
                  <a:t>Million Btu</a:t>
                </a:r>
              </a:p>
            </c:rich>
          </c:tx>
          <c:layout/>
        </c:title>
        <c:numFmt formatCode="0" sourceLinked="1"/>
        <c:majorTickMark val="none"/>
        <c:tickLblPos val="nextTo"/>
        <c:crossAx val="115516928"/>
        <c:crosses val="autoZero"/>
        <c:crossBetween val="between"/>
      </c:valAx>
    </c:plotArea>
    <c:legend>
      <c:legendPos val="r"/>
      <c:layout/>
    </c:legend>
    <c:plotVisOnly val="1"/>
  </c:chart>
  <c:printSettings>
    <c:headerFooter/>
    <c:pageMargins b="0.750000000000002" l="0.70000000000000062" r="0.70000000000000062" t="0.75000000000000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sz="1200"/>
              <a:t>Total Electricity Consumption</a:t>
            </a:r>
          </a:p>
          <a:p>
            <a:pPr>
              <a:defRPr/>
            </a:pPr>
            <a:r>
              <a:rPr lang="en-US" sz="1200"/>
              <a:t>(LEAP</a:t>
            </a:r>
            <a:r>
              <a:rPr lang="en-US" sz="1200" baseline="0"/>
              <a:t> Model Scenario)</a:t>
            </a:r>
            <a:endParaRPr lang="en-US" sz="1200"/>
          </a:p>
        </c:rich>
      </c:tx>
      <c:layout/>
    </c:title>
    <c:plotArea>
      <c:layout/>
      <c:barChart>
        <c:barDir val="col"/>
        <c:grouping val="clustered"/>
        <c:ser>
          <c:idx val="0"/>
          <c:order val="0"/>
          <c:tx>
            <c:strRef>
              <c:f>'C. Data- Charts for Plans'!$D$5</c:f>
              <c:strCache>
                <c:ptCount val="1"/>
                <c:pt idx="0">
                  <c:v>Reference (no action)</c:v>
                </c:pt>
              </c:strCache>
            </c:strRef>
          </c:tx>
          <c:cat>
            <c:numRef>
              <c:f>'C. Data- Charts for Plans'!$D$6:$G$6</c:f>
              <c:numCache>
                <c:formatCode>General</c:formatCode>
                <c:ptCount val="4"/>
                <c:pt idx="0">
                  <c:v>2015</c:v>
                </c:pt>
                <c:pt idx="1">
                  <c:v>2025</c:v>
                </c:pt>
                <c:pt idx="2">
                  <c:v>2035</c:v>
                </c:pt>
                <c:pt idx="3">
                  <c:v>2050</c:v>
                </c:pt>
              </c:numCache>
            </c:numRef>
          </c:cat>
          <c:val>
            <c:numRef>
              <c:f>'C. Data- Charts for Plans'!$AJ$10:$AM$10</c:f>
              <c:numCache>
                <c:formatCode>0.0</c:formatCode>
                <c:ptCount val="4"/>
                <c:pt idx="0">
                  <c:v>1.2144790257104194</c:v>
                </c:pt>
                <c:pt idx="1">
                  <c:v>1.3711859967698283</c:v>
                </c:pt>
                <c:pt idx="2">
                  <c:v>1.5122222707232964</c:v>
                </c:pt>
                <c:pt idx="3">
                  <c:v>1.6767645903356758</c:v>
                </c:pt>
              </c:numCache>
            </c:numRef>
          </c:val>
        </c:ser>
        <c:ser>
          <c:idx val="1"/>
          <c:order val="1"/>
          <c:tx>
            <c:strRef>
              <c:f>'C. Data- Charts for Plans'!$H$5</c:f>
              <c:strCache>
                <c:ptCount val="1"/>
                <c:pt idx="0">
                  <c:v>90x50 Scenario</c:v>
                </c:pt>
              </c:strCache>
            </c:strRef>
          </c:tx>
          <c:cat>
            <c:numRef>
              <c:f>'C. Data- Charts for Plans'!$D$6:$G$6</c:f>
              <c:numCache>
                <c:formatCode>General</c:formatCode>
                <c:ptCount val="4"/>
                <c:pt idx="0">
                  <c:v>2015</c:v>
                </c:pt>
                <c:pt idx="1">
                  <c:v>2025</c:v>
                </c:pt>
                <c:pt idx="2">
                  <c:v>2035</c:v>
                </c:pt>
                <c:pt idx="3">
                  <c:v>2050</c:v>
                </c:pt>
              </c:numCache>
            </c:numRef>
          </c:cat>
          <c:val>
            <c:numRef>
              <c:f>'C. Data- Charts for Plans'!$AN$10:$AQ$10</c:f>
              <c:numCache>
                <c:formatCode>0.0</c:formatCode>
                <c:ptCount val="4"/>
                <c:pt idx="0">
                  <c:v>1.1282901916277446</c:v>
                </c:pt>
                <c:pt idx="1">
                  <c:v>1.04993670609804</c:v>
                </c:pt>
                <c:pt idx="2">
                  <c:v>0.98725391767427639</c:v>
                </c:pt>
                <c:pt idx="3">
                  <c:v>0.90890043214457195</c:v>
                </c:pt>
              </c:numCache>
            </c:numRef>
          </c:val>
        </c:ser>
        <c:axId val="134107904"/>
        <c:axId val="134109440"/>
      </c:barChart>
      <c:catAx>
        <c:axId val="134107904"/>
        <c:scaling>
          <c:orientation val="minMax"/>
        </c:scaling>
        <c:axPos val="b"/>
        <c:numFmt formatCode="General" sourceLinked="1"/>
        <c:tickLblPos val="nextTo"/>
        <c:crossAx val="134109440"/>
        <c:crosses val="autoZero"/>
        <c:auto val="1"/>
        <c:lblAlgn val="ctr"/>
        <c:lblOffset val="100"/>
      </c:catAx>
      <c:valAx>
        <c:axId val="134109440"/>
        <c:scaling>
          <c:orientation val="minMax"/>
        </c:scaling>
        <c:axPos val="l"/>
        <c:majorGridlines/>
        <c:title>
          <c:tx>
            <c:rich>
              <a:bodyPr rot="-5400000" vert="horz"/>
              <a:lstStyle/>
              <a:p>
                <a:pPr>
                  <a:defRPr/>
                </a:pPr>
                <a:r>
                  <a:rPr lang="en-US"/>
                  <a:t>Thousand MMBtu</a:t>
                </a:r>
              </a:p>
            </c:rich>
          </c:tx>
          <c:layout/>
        </c:title>
        <c:numFmt formatCode="0.0" sourceLinked="1"/>
        <c:tickLblPos val="nextTo"/>
        <c:crossAx val="134107904"/>
        <c:crosses val="autoZero"/>
        <c:crossBetween val="between"/>
      </c:valAx>
    </c:plotArea>
    <c:legend>
      <c:legendPos val="r"/>
      <c:layout/>
    </c:legend>
    <c:plotVisOnly val="1"/>
  </c:chart>
  <c:printSettings>
    <c:headerFooter/>
    <c:pageMargins b="0.75000000000000222" l="0.70000000000000062" r="0.70000000000000062" t="0.7500000000000022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3</xdr:col>
      <xdr:colOff>161925</xdr:colOff>
      <xdr:row>11</xdr:row>
      <xdr:rowOff>161925</xdr:rowOff>
    </xdr:from>
    <xdr:to>
      <xdr:col>10</xdr:col>
      <xdr:colOff>466725</xdr:colOff>
      <xdr:row>26</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190500</xdr:colOff>
      <xdr:row>11</xdr:row>
      <xdr:rowOff>142875</xdr:rowOff>
    </xdr:from>
    <xdr:to>
      <xdr:col>18</xdr:col>
      <xdr:colOff>495300</xdr:colOff>
      <xdr:row>26</xdr:row>
      <xdr:rowOff>28575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133350</xdr:colOff>
      <xdr:row>35</xdr:row>
      <xdr:rowOff>152400</xdr:rowOff>
    </xdr:from>
    <xdr:to>
      <xdr:col>10</xdr:col>
      <xdr:colOff>495300</xdr:colOff>
      <xdr:row>52</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114300</xdr:colOff>
      <xdr:row>35</xdr:row>
      <xdr:rowOff>152400</xdr:rowOff>
    </xdr:from>
    <xdr:to>
      <xdr:col>18</xdr:col>
      <xdr:colOff>476250</xdr:colOff>
      <xdr:row>52</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114300</xdr:colOff>
      <xdr:row>11</xdr:row>
      <xdr:rowOff>133350</xdr:rowOff>
    </xdr:from>
    <xdr:to>
      <xdr:col>26</xdr:col>
      <xdr:colOff>419100</xdr:colOff>
      <xdr:row>26</xdr:row>
      <xdr:rowOff>19050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104775</xdr:colOff>
      <xdr:row>35</xdr:row>
      <xdr:rowOff>161925</xdr:rowOff>
    </xdr:from>
    <xdr:to>
      <xdr:col>26</xdr:col>
      <xdr:colOff>466725</xdr:colOff>
      <xdr:row>52</xdr:row>
      <xdr:rowOff>9525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xdr:col>
      <xdr:colOff>142875</xdr:colOff>
      <xdr:row>11</xdr:row>
      <xdr:rowOff>130968</xdr:rowOff>
    </xdr:from>
    <xdr:to>
      <xdr:col>34</xdr:col>
      <xdr:colOff>447675</xdr:colOff>
      <xdr:row>26</xdr:row>
      <xdr:rowOff>16668</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27</xdr:col>
      <xdr:colOff>154782</xdr:colOff>
      <xdr:row>35</xdr:row>
      <xdr:rowOff>166688</xdr:rowOff>
    </xdr:from>
    <xdr:to>
      <xdr:col>34</xdr:col>
      <xdr:colOff>516732</xdr:colOff>
      <xdr:row>52</xdr:row>
      <xdr:rowOff>14288</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35</xdr:col>
      <xdr:colOff>178594</xdr:colOff>
      <xdr:row>11</xdr:row>
      <xdr:rowOff>130968</xdr:rowOff>
    </xdr:from>
    <xdr:to>
      <xdr:col>42</xdr:col>
      <xdr:colOff>483394</xdr:colOff>
      <xdr:row>26</xdr:row>
      <xdr:rowOff>16668</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35</xdr:col>
      <xdr:colOff>119063</xdr:colOff>
      <xdr:row>35</xdr:row>
      <xdr:rowOff>166688</xdr:rowOff>
    </xdr:from>
    <xdr:to>
      <xdr:col>42</xdr:col>
      <xdr:colOff>481013</xdr:colOff>
      <xdr:row>52</xdr:row>
      <xdr:rowOff>14288</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B2:K15"/>
  <sheetViews>
    <sheetView workbookViewId="0">
      <selection activeCell="P6" sqref="P6"/>
    </sheetView>
  </sheetViews>
  <sheetFormatPr defaultColWidth="8.85546875" defaultRowHeight="15"/>
  <cols>
    <col min="1" max="1" width="8.85546875" style="115"/>
    <col min="2" max="7" width="8.7109375" style="115" customWidth="1"/>
    <col min="8" max="8" width="15.5703125" style="115" customWidth="1"/>
    <col min="9" max="9" width="24.28515625" style="115" customWidth="1"/>
    <col min="10" max="11" width="8.7109375" style="115" customWidth="1"/>
    <col min="12" max="16384" width="8.85546875" style="115"/>
  </cols>
  <sheetData>
    <row r="2" spans="2:11" ht="18.75">
      <c r="B2" s="248" t="s">
        <v>85</v>
      </c>
      <c r="C2" s="249"/>
      <c r="D2" s="249"/>
      <c r="E2" s="249"/>
      <c r="F2" s="249"/>
      <c r="G2" s="249"/>
      <c r="H2" s="249"/>
      <c r="I2" s="249"/>
      <c r="J2" s="249"/>
      <c r="K2" s="250"/>
    </row>
    <row r="3" spans="2:11" ht="39" customHeight="1">
      <c r="B3" s="116"/>
      <c r="C3" s="251" t="s">
        <v>88</v>
      </c>
      <c r="D3" s="252"/>
      <c r="E3" s="252"/>
      <c r="F3" s="252"/>
      <c r="G3" s="252"/>
      <c r="H3" s="252"/>
      <c r="I3" s="252"/>
      <c r="J3" s="252"/>
      <c r="K3" s="253"/>
    </row>
    <row r="4" spans="2:11" ht="64.5" customHeight="1">
      <c r="B4" s="254" t="s">
        <v>89</v>
      </c>
      <c r="C4" s="255"/>
      <c r="D4" s="255"/>
      <c r="E4" s="255"/>
      <c r="F4" s="255"/>
      <c r="G4" s="255"/>
      <c r="H4" s="255"/>
      <c r="I4" s="255"/>
      <c r="J4" s="255"/>
      <c r="K4" s="256"/>
    </row>
    <row r="5" spans="2:11" ht="48.75" customHeight="1">
      <c r="B5" s="117"/>
      <c r="C5" s="118"/>
      <c r="D5" s="118"/>
      <c r="E5" s="118"/>
      <c r="F5" s="118"/>
      <c r="G5" s="118"/>
      <c r="H5" s="118"/>
      <c r="I5" s="118"/>
      <c r="J5" s="118"/>
      <c r="K5" s="119"/>
    </row>
    <row r="6" spans="2:11" ht="54.95" customHeight="1">
      <c r="B6" s="120"/>
      <c r="C6" s="257" t="s">
        <v>86</v>
      </c>
      <c r="D6" s="257"/>
      <c r="E6" s="257"/>
      <c r="F6" s="257"/>
      <c r="G6" s="257"/>
      <c r="H6" s="258"/>
      <c r="I6" s="81"/>
      <c r="J6" s="121"/>
      <c r="K6" s="122"/>
    </row>
    <row r="7" spans="2:11" ht="14.25" customHeight="1">
      <c r="B7" s="120"/>
      <c r="C7" s="123"/>
      <c r="D7" s="123"/>
      <c r="E7" s="123"/>
      <c r="F7" s="123"/>
      <c r="G7" s="123"/>
      <c r="H7" s="123"/>
      <c r="I7" s="114"/>
      <c r="J7" s="121"/>
      <c r="K7" s="122"/>
    </row>
    <row r="8" spans="2:11" ht="54.75" customHeight="1">
      <c r="B8" s="120"/>
      <c r="C8" s="246" t="s">
        <v>90</v>
      </c>
      <c r="D8" s="246"/>
      <c r="E8" s="246"/>
      <c r="F8" s="246"/>
      <c r="G8" s="246"/>
      <c r="H8" s="247"/>
      <c r="I8" s="124"/>
      <c r="J8" s="121"/>
      <c r="K8" s="122"/>
    </row>
    <row r="9" spans="2:11" ht="18.75" customHeight="1">
      <c r="B9" s="120"/>
      <c r="C9" s="125"/>
      <c r="D9" s="125"/>
      <c r="E9" s="125"/>
      <c r="F9" s="125"/>
      <c r="G9" s="125"/>
      <c r="H9" s="125"/>
      <c r="I9" s="114"/>
      <c r="J9" s="121"/>
      <c r="K9" s="122"/>
    </row>
    <row r="10" spans="2:11" ht="45.75" customHeight="1">
      <c r="B10" s="120"/>
      <c r="C10" s="246" t="s">
        <v>87</v>
      </c>
      <c r="D10" s="246"/>
      <c r="E10" s="246"/>
      <c r="F10" s="246"/>
      <c r="G10" s="246"/>
      <c r="H10" s="247"/>
      <c r="I10" s="126"/>
      <c r="J10" s="121"/>
      <c r="K10" s="122"/>
    </row>
    <row r="11" spans="2:11" ht="9.75" customHeight="1">
      <c r="B11" s="120"/>
      <c r="C11" s="121"/>
      <c r="D11" s="121"/>
      <c r="E11" s="121"/>
      <c r="F11" s="121"/>
      <c r="G11" s="121"/>
      <c r="H11" s="121"/>
      <c r="I11" s="121"/>
      <c r="J11" s="121"/>
      <c r="K11" s="122"/>
    </row>
    <row r="12" spans="2:11" ht="66.75" customHeight="1">
      <c r="B12" s="120"/>
      <c r="C12" s="121"/>
      <c r="D12" s="121"/>
      <c r="E12" s="121"/>
      <c r="F12" s="121"/>
      <c r="G12" s="121"/>
      <c r="H12" s="121"/>
      <c r="I12" s="121"/>
      <c r="J12" s="121"/>
      <c r="K12" s="122"/>
    </row>
    <row r="13" spans="2:11">
      <c r="B13" s="120"/>
      <c r="C13" s="121"/>
      <c r="D13" s="121"/>
      <c r="E13" s="121"/>
      <c r="F13" s="121"/>
      <c r="G13" s="121"/>
      <c r="H13" s="121"/>
      <c r="I13" s="121"/>
      <c r="J13" s="121"/>
      <c r="K13" s="122"/>
    </row>
    <row r="14" spans="2:11">
      <c r="B14" s="120"/>
      <c r="C14" s="121"/>
      <c r="D14" s="121"/>
      <c r="E14" s="121"/>
      <c r="F14" s="121"/>
      <c r="G14" s="121"/>
      <c r="H14" s="121"/>
      <c r="I14" s="121"/>
      <c r="J14" s="121"/>
      <c r="K14" s="122"/>
    </row>
    <row r="15" spans="2:11">
      <c r="B15" s="127"/>
      <c r="C15" s="128"/>
      <c r="D15" s="128"/>
      <c r="E15" s="128"/>
      <c r="F15" s="128"/>
      <c r="G15" s="128"/>
      <c r="H15" s="128"/>
      <c r="I15" s="128"/>
      <c r="J15" s="128"/>
      <c r="K15" s="129"/>
    </row>
  </sheetData>
  <mergeCells count="6">
    <mergeCell ref="C8:H8"/>
    <mergeCell ref="C10:H10"/>
    <mergeCell ref="B2:K2"/>
    <mergeCell ref="C3:K3"/>
    <mergeCell ref="B4:K4"/>
    <mergeCell ref="C6:H6"/>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N26"/>
  <sheetViews>
    <sheetView tabSelected="1" zoomScale="80" zoomScaleNormal="80" workbookViewId="0">
      <selection activeCell="P18" sqref="P18"/>
    </sheetView>
  </sheetViews>
  <sheetFormatPr defaultRowHeight="15"/>
  <cols>
    <col min="1" max="1" width="2.28515625" customWidth="1"/>
    <col min="12" max="14" width="11.42578125" customWidth="1"/>
  </cols>
  <sheetData>
    <row r="1" spans="2:14" ht="13.5" customHeight="1" thickBot="1"/>
    <row r="2" spans="2:14" ht="154.5" customHeight="1" thickBot="1">
      <c r="B2" s="277" t="s">
        <v>94</v>
      </c>
      <c r="C2" s="278"/>
      <c r="D2" s="278"/>
      <c r="E2" s="278"/>
      <c r="F2" s="278"/>
      <c r="G2" s="278"/>
      <c r="H2" s="278"/>
      <c r="I2" s="278"/>
      <c r="J2" s="278"/>
      <c r="K2" s="278"/>
      <c r="L2" s="278"/>
      <c r="M2" s="278"/>
      <c r="N2" s="279"/>
    </row>
    <row r="3" spans="2:14" ht="16.5" thickBot="1">
      <c r="B3" s="130"/>
      <c r="C3" s="131"/>
      <c r="D3" s="131"/>
      <c r="E3" s="131"/>
      <c r="F3" s="131"/>
      <c r="G3" s="131"/>
      <c r="H3" s="131"/>
      <c r="I3" s="131"/>
      <c r="J3" s="131"/>
      <c r="K3" s="131"/>
      <c r="L3" s="131"/>
      <c r="M3" s="131"/>
      <c r="N3" s="131"/>
    </row>
    <row r="4" spans="2:14" ht="42.75" customHeight="1">
      <c r="B4" s="280" t="s">
        <v>209</v>
      </c>
      <c r="C4" s="281"/>
      <c r="D4" s="281"/>
      <c r="E4" s="281"/>
      <c r="F4" s="281"/>
      <c r="G4" s="281"/>
      <c r="H4" s="281"/>
      <c r="I4" s="281"/>
      <c r="J4" s="281"/>
      <c r="K4" s="281"/>
      <c r="L4" s="281"/>
      <c r="M4" s="281"/>
      <c r="N4" s="282"/>
    </row>
    <row r="5" spans="2:14" ht="18.75" customHeight="1">
      <c r="B5" s="262" t="s">
        <v>91</v>
      </c>
      <c r="C5" s="263"/>
      <c r="D5" s="263"/>
      <c r="E5" s="263"/>
      <c r="F5" s="263"/>
      <c r="G5" s="263"/>
      <c r="H5" s="263"/>
      <c r="I5" s="263"/>
      <c r="J5" s="263"/>
      <c r="K5" s="263"/>
      <c r="L5" s="193">
        <v>2025</v>
      </c>
      <c r="M5" s="193">
        <v>2035</v>
      </c>
      <c r="N5" s="194">
        <v>2050</v>
      </c>
    </row>
    <row r="6" spans="2:14" ht="45" customHeight="1">
      <c r="B6" s="264" t="s">
        <v>134</v>
      </c>
      <c r="C6" s="265"/>
      <c r="D6" s="265"/>
      <c r="E6" s="265"/>
      <c r="F6" s="265"/>
      <c r="G6" s="265"/>
      <c r="H6" s="265"/>
      <c r="I6" s="265"/>
      <c r="J6" s="265"/>
      <c r="K6" s="265"/>
      <c r="L6" s="181">
        <f>'1. Workspace- Efficiency'!C20</f>
        <v>9.3379974989822159E-2</v>
      </c>
      <c r="M6" s="181">
        <f>'1. Workspace- Efficiency'!D20</f>
        <v>0.18230879349042461</v>
      </c>
      <c r="N6" s="182">
        <f>'1. Workspace- Efficiency'!E20</f>
        <v>0.37396513509722284</v>
      </c>
    </row>
    <row r="7" spans="2:14" s="58" customFormat="1" ht="36.75" customHeight="1">
      <c r="B7" s="266" t="s">
        <v>118</v>
      </c>
      <c r="C7" s="267"/>
      <c r="D7" s="267"/>
      <c r="E7" s="267"/>
      <c r="F7" s="267"/>
      <c r="G7" s="267"/>
      <c r="H7" s="267"/>
      <c r="I7" s="267"/>
      <c r="J7" s="267"/>
      <c r="K7" s="267"/>
      <c r="L7" s="183">
        <f>'1. Workspace- Efficiency'!C18</f>
        <v>36.978470095969577</v>
      </c>
      <c r="M7" s="183">
        <f>'1. Workspace- Efficiency'!D18</f>
        <v>72.194282222208145</v>
      </c>
      <c r="N7" s="184">
        <f>'1. Workspace- Efficiency'!E18</f>
        <v>148.09019349850024</v>
      </c>
    </row>
    <row r="8" spans="2:14" ht="51.75" customHeight="1">
      <c r="B8" s="266" t="s">
        <v>135</v>
      </c>
      <c r="C8" s="267"/>
      <c r="D8" s="267"/>
      <c r="E8" s="267"/>
      <c r="F8" s="267"/>
      <c r="G8" s="267"/>
      <c r="H8" s="267"/>
      <c r="I8" s="267"/>
      <c r="J8" s="267"/>
      <c r="K8" s="267"/>
      <c r="L8" s="185">
        <f>'1. Workspace- Efficiency'!C38</f>
        <v>8.8929405596071986E-2</v>
      </c>
      <c r="M8" s="185">
        <f>'1. Workspace- Efficiency'!D38</f>
        <v>0.16422771978327524</v>
      </c>
      <c r="N8" s="186">
        <f>'1. Workspace- Efficiency'!E38</f>
        <v>0.29754754754754753</v>
      </c>
    </row>
    <row r="9" spans="2:14" s="58" customFormat="1" ht="48.75" customHeight="1">
      <c r="B9" s="266" t="s">
        <v>136</v>
      </c>
      <c r="C9" s="267"/>
      <c r="D9" s="267"/>
      <c r="E9" s="267"/>
      <c r="F9" s="267"/>
      <c r="G9" s="267"/>
      <c r="H9" s="267"/>
      <c r="I9" s="267"/>
      <c r="J9" s="267"/>
      <c r="K9" s="267"/>
      <c r="L9" s="183">
        <f>'1. Workspace- Efficiency'!C40</f>
        <v>1.2450116783450078</v>
      </c>
      <c r="M9" s="183">
        <f>'1. Workspace- Efficiency'!D40</f>
        <v>2.2991880769658533</v>
      </c>
      <c r="N9" s="184">
        <f>'1. Workspace- Efficiency'!E40</f>
        <v>4.1656656656656654</v>
      </c>
    </row>
    <row r="10" spans="2:14" s="58" customFormat="1" ht="48.75" customHeight="1">
      <c r="B10" s="266" t="s">
        <v>149</v>
      </c>
      <c r="C10" s="267"/>
      <c r="D10" s="267"/>
      <c r="E10" s="267"/>
      <c r="F10" s="267"/>
      <c r="G10" s="267"/>
      <c r="H10" s="267"/>
      <c r="I10" s="267"/>
      <c r="J10" s="267"/>
      <c r="K10" s="267"/>
      <c r="L10" s="187">
        <f>'1. Workspace- Efficiency'!C49</f>
        <v>742100.00000000012</v>
      </c>
      <c r="M10" s="187">
        <f>'1. Workspace- Efficiency'!D49</f>
        <v>1212700</v>
      </c>
      <c r="N10" s="188">
        <f>'1. Workspace- Efficiency'!E49</f>
        <v>1773800.0000000002</v>
      </c>
    </row>
    <row r="11" spans="2:14" ht="56.25" customHeight="1" thickBot="1">
      <c r="B11" s="268" t="s">
        <v>150</v>
      </c>
      <c r="C11" s="269"/>
      <c r="D11" s="269"/>
      <c r="E11" s="269"/>
      <c r="F11" s="269"/>
      <c r="G11" s="269"/>
      <c r="H11" s="269"/>
      <c r="I11" s="269"/>
      <c r="J11" s="269"/>
      <c r="K11" s="269"/>
      <c r="L11" s="191">
        <f>'1. Workspace- Efficiency'!C50</f>
        <v>0.41836734693877553</v>
      </c>
      <c r="M11" s="191">
        <f>'1. Workspace- Efficiency'!D50</f>
        <v>0.68367346938775508</v>
      </c>
      <c r="N11" s="192">
        <f>'1. Workspace- Efficiency'!E50</f>
        <v>1</v>
      </c>
    </row>
    <row r="12" spans="2:14" ht="20.25" customHeight="1" thickBot="1">
      <c r="B12" s="132"/>
      <c r="C12" s="133"/>
      <c r="D12" s="133"/>
      <c r="E12" s="133"/>
      <c r="F12" s="133"/>
      <c r="G12" s="133"/>
      <c r="H12" s="133"/>
      <c r="I12" s="133"/>
      <c r="J12" s="133"/>
      <c r="K12" s="133"/>
      <c r="L12" s="133"/>
      <c r="M12" s="133"/>
      <c r="N12" s="133"/>
    </row>
    <row r="13" spans="2:14" ht="37.5" customHeight="1">
      <c r="B13" s="272" t="s">
        <v>151</v>
      </c>
      <c r="C13" s="273"/>
      <c r="D13" s="273"/>
      <c r="E13" s="273"/>
      <c r="F13" s="273"/>
      <c r="G13" s="273"/>
      <c r="H13" s="273"/>
      <c r="I13" s="273"/>
      <c r="J13" s="273"/>
      <c r="K13" s="273"/>
      <c r="L13" s="273"/>
      <c r="M13" s="273"/>
      <c r="N13" s="274"/>
    </row>
    <row r="14" spans="2:14" ht="18" customHeight="1" thickBot="1">
      <c r="B14" s="270" t="s">
        <v>91</v>
      </c>
      <c r="C14" s="271"/>
      <c r="D14" s="271"/>
      <c r="E14" s="271"/>
      <c r="F14" s="271"/>
      <c r="G14" s="271"/>
      <c r="H14" s="271"/>
      <c r="I14" s="271"/>
      <c r="J14" s="271"/>
      <c r="K14" s="271"/>
      <c r="L14" s="189">
        <v>2025</v>
      </c>
      <c r="M14" s="189">
        <v>2035</v>
      </c>
      <c r="N14" s="190">
        <v>2050</v>
      </c>
    </row>
    <row r="15" spans="2:14" ht="95.25" customHeight="1">
      <c r="B15" s="275" t="s">
        <v>227</v>
      </c>
      <c r="C15" s="276"/>
      <c r="D15" s="276"/>
      <c r="E15" s="276"/>
      <c r="F15" s="276"/>
      <c r="G15" s="276"/>
      <c r="H15" s="276"/>
      <c r="I15" s="276"/>
      <c r="J15" s="276"/>
      <c r="K15" s="276"/>
      <c r="L15" s="217">
        <f>'2. Workspace- Fuel Targets'!C32</f>
        <v>110.12619662534436</v>
      </c>
      <c r="M15" s="217">
        <f>'2. Workspace- Fuel Targets'!D32</f>
        <v>105.02347623966942</v>
      </c>
      <c r="N15" s="218">
        <f>'2. Workspace- Fuel Targets'!E32</f>
        <v>105.21933539944904</v>
      </c>
    </row>
    <row r="16" spans="2:14" s="58" customFormat="1" ht="45" customHeight="1">
      <c r="B16" s="266" t="s">
        <v>193</v>
      </c>
      <c r="C16" s="267"/>
      <c r="D16" s="267"/>
      <c r="E16" s="267"/>
      <c r="F16" s="267"/>
      <c r="G16" s="267"/>
      <c r="H16" s="267"/>
      <c r="I16" s="267"/>
      <c r="J16" s="267"/>
      <c r="K16" s="267"/>
      <c r="L16" s="183">
        <f>'2. Workspace- Fuel Targets'!C27</f>
        <v>19.231404958677683</v>
      </c>
      <c r="M16" s="183">
        <f>'2. Workspace- Fuel Targets'!D27</f>
        <v>21.057851239669418</v>
      </c>
      <c r="N16" s="184">
        <f>'2. Workspace- Fuel Targets'!E27</f>
        <v>26.4297520661157</v>
      </c>
    </row>
    <row r="17" spans="2:14" ht="37.5" customHeight="1">
      <c r="B17" s="266" t="s">
        <v>185</v>
      </c>
      <c r="C17" s="267"/>
      <c r="D17" s="267"/>
      <c r="E17" s="267"/>
      <c r="F17" s="267"/>
      <c r="G17" s="267"/>
      <c r="H17" s="267"/>
      <c r="I17" s="267"/>
      <c r="J17" s="267"/>
      <c r="K17" s="267"/>
      <c r="L17" s="187">
        <f>'2. Workspace- Fuel Targets'!C44</f>
        <v>34.138335287221572</v>
      </c>
      <c r="M17" s="187">
        <f>'2. Workspace- Fuel Targets'!D44</f>
        <v>67.3622508792497</v>
      </c>
      <c r="N17" s="188">
        <f>'2. Workspace- Fuel Targets'!E44</f>
        <v>95.099648300117224</v>
      </c>
    </row>
    <row r="18" spans="2:14" ht="39" customHeight="1">
      <c r="B18" s="266" t="s">
        <v>207</v>
      </c>
      <c r="C18" s="267"/>
      <c r="D18" s="267"/>
      <c r="E18" s="267"/>
      <c r="F18" s="267"/>
      <c r="G18" s="267"/>
      <c r="H18" s="267"/>
      <c r="I18" s="267"/>
      <c r="J18" s="267"/>
      <c r="K18" s="267"/>
      <c r="L18" s="187">
        <f>'2. Workspace- Fuel Targets'!C53</f>
        <v>23.552990563937982</v>
      </c>
      <c r="M18" s="187">
        <f>'2. Workspace- Fuel Targets'!D53</f>
        <v>166.38074103499781</v>
      </c>
      <c r="N18" s="188">
        <f>'2. Workspace- Fuel Targets'!E53</f>
        <v>351.28178234249378</v>
      </c>
    </row>
    <row r="19" spans="2:14" ht="37.5" customHeight="1" thickBot="1">
      <c r="B19" s="268" t="s">
        <v>208</v>
      </c>
      <c r="C19" s="269"/>
      <c r="D19" s="269"/>
      <c r="E19" s="269"/>
      <c r="F19" s="269"/>
      <c r="G19" s="269"/>
      <c r="H19" s="269"/>
      <c r="I19" s="269"/>
      <c r="J19" s="269"/>
      <c r="K19" s="269"/>
      <c r="L19" s="219">
        <f>'2. Workspace- Fuel Targets'!C62</f>
        <v>35.986281609565623</v>
      </c>
      <c r="M19" s="219">
        <f>'2. Workspace- Fuel Targets'!D62</f>
        <v>68.936473042946488</v>
      </c>
      <c r="N19" s="220">
        <f>'2. Workspace- Fuel Targets'!E62</f>
        <v>119.29035160328708</v>
      </c>
    </row>
    <row r="20" spans="2:14" ht="29.25" customHeight="1" thickBot="1"/>
    <row r="21" spans="2:14" ht="40.5" customHeight="1">
      <c r="B21" s="272" t="s">
        <v>210</v>
      </c>
      <c r="C21" s="273"/>
      <c r="D21" s="273"/>
      <c r="E21" s="273"/>
      <c r="F21" s="273"/>
      <c r="G21" s="273"/>
      <c r="H21" s="273"/>
      <c r="I21" s="273"/>
      <c r="J21" s="273"/>
      <c r="K21" s="273"/>
      <c r="L21" s="273"/>
      <c r="M21" s="273"/>
      <c r="N21" s="274"/>
    </row>
    <row r="22" spans="2:14" ht="15.75" customHeight="1">
      <c r="B22" s="262" t="s">
        <v>92</v>
      </c>
      <c r="C22" s="263"/>
      <c r="D22" s="263"/>
      <c r="E22" s="263"/>
      <c r="F22" s="263"/>
      <c r="G22" s="263"/>
      <c r="H22" s="263"/>
      <c r="I22" s="263"/>
      <c r="J22" s="263"/>
      <c r="K22" s="263"/>
      <c r="L22" s="134">
        <v>2025</v>
      </c>
      <c r="M22" s="134">
        <v>2035</v>
      </c>
      <c r="N22" s="135">
        <v>2050</v>
      </c>
    </row>
    <row r="23" spans="2:14" ht="35.25" customHeight="1">
      <c r="B23" s="266" t="s">
        <v>222</v>
      </c>
      <c r="C23" s="267"/>
      <c r="D23" s="267"/>
      <c r="E23" s="267"/>
      <c r="F23" s="267"/>
      <c r="G23" s="267"/>
      <c r="H23" s="267"/>
      <c r="I23" s="267"/>
      <c r="J23" s="267"/>
      <c r="K23" s="267"/>
      <c r="L23" s="179">
        <f>'3. Workspace- Renewables'!C8</f>
        <v>9.5740523642047673E-2</v>
      </c>
      <c r="M23" s="179">
        <f>'3. Workspace- Renewables'!D8</f>
        <v>0.31197301854974707</v>
      </c>
      <c r="N23" s="180">
        <f>'3. Workspace- Renewables'!E8</f>
        <v>0.90298507462686572</v>
      </c>
    </row>
    <row r="24" spans="2:14" ht="35.25" customHeight="1">
      <c r="B24" s="266" t="s">
        <v>223</v>
      </c>
      <c r="C24" s="267"/>
      <c r="D24" s="267"/>
      <c r="E24" s="267"/>
      <c r="F24" s="267"/>
      <c r="G24" s="267"/>
      <c r="H24" s="267"/>
      <c r="I24" s="267"/>
      <c r="J24" s="267"/>
      <c r="K24" s="267"/>
      <c r="L24" s="179">
        <f>'3. Workspace- Renewables'!C15</f>
        <v>0.56268730617882357</v>
      </c>
      <c r="M24" s="179">
        <f>'3. Workspace- Renewables'!D15</f>
        <v>0.67307398932112894</v>
      </c>
      <c r="N24" s="180">
        <f>'3. Workspace- Renewables'!E15</f>
        <v>0.92882519659893814</v>
      </c>
    </row>
    <row r="25" spans="2:14" ht="61.5" customHeight="1">
      <c r="B25" s="283" t="s">
        <v>224</v>
      </c>
      <c r="C25" s="284"/>
      <c r="D25" s="284"/>
      <c r="E25" s="284"/>
      <c r="F25" s="284"/>
      <c r="G25" s="284"/>
      <c r="H25" s="284"/>
      <c r="I25" s="285" t="s">
        <v>225</v>
      </c>
      <c r="J25" s="285"/>
      <c r="K25" s="285"/>
      <c r="L25" s="285"/>
      <c r="M25" s="285"/>
      <c r="N25" s="286"/>
    </row>
    <row r="26" spans="2:14" s="58" customFormat="1" ht="43.5" customHeight="1" thickBot="1">
      <c r="B26" s="259" t="s">
        <v>93</v>
      </c>
      <c r="C26" s="260"/>
      <c r="D26" s="260"/>
      <c r="E26" s="260"/>
      <c r="F26" s="260"/>
      <c r="G26" s="260"/>
      <c r="H26" s="260"/>
      <c r="I26" s="260"/>
      <c r="J26" s="260"/>
      <c r="K26" s="260"/>
      <c r="L26" s="260"/>
      <c r="M26" s="260"/>
      <c r="N26" s="261"/>
    </row>
  </sheetData>
  <mergeCells count="23">
    <mergeCell ref="B25:H25"/>
    <mergeCell ref="I25:N25"/>
    <mergeCell ref="B18:K18"/>
    <mergeCell ref="B19:K19"/>
    <mergeCell ref="B2:N2"/>
    <mergeCell ref="B4:N4"/>
    <mergeCell ref="B16:K16"/>
    <mergeCell ref="B26:N26"/>
    <mergeCell ref="B5:K5"/>
    <mergeCell ref="B6:K6"/>
    <mergeCell ref="B8:K8"/>
    <mergeCell ref="B11:K11"/>
    <mergeCell ref="B14:K14"/>
    <mergeCell ref="B21:N21"/>
    <mergeCell ref="B22:K22"/>
    <mergeCell ref="B23:K23"/>
    <mergeCell ref="B24:K24"/>
    <mergeCell ref="B13:N13"/>
    <mergeCell ref="B15:K15"/>
    <mergeCell ref="B17:K17"/>
    <mergeCell ref="B7:K7"/>
    <mergeCell ref="B9:K9"/>
    <mergeCell ref="B10:K10"/>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50"/>
  <sheetViews>
    <sheetView topLeftCell="A35" zoomScale="80" zoomScaleNormal="80" workbookViewId="0">
      <selection activeCell="B48" sqref="B48:E48"/>
    </sheetView>
  </sheetViews>
  <sheetFormatPr defaultRowHeight="15"/>
  <cols>
    <col min="1" max="1" width="2.28515625" customWidth="1"/>
    <col min="2" max="4" width="14.5703125" style="58" customWidth="1"/>
    <col min="5" max="5" width="14.5703125" customWidth="1"/>
  </cols>
  <sheetData>
    <row r="1" spans="1:19" ht="15.75" thickBot="1"/>
    <row r="2" spans="1:19" s="58" customFormat="1" ht="175.5" customHeight="1" thickBot="1">
      <c r="B2" s="298" t="s">
        <v>141</v>
      </c>
      <c r="C2" s="299"/>
      <c r="D2" s="299"/>
      <c r="E2" s="299"/>
      <c r="F2" s="299"/>
      <c r="G2" s="299"/>
      <c r="H2" s="299"/>
      <c r="I2" s="299"/>
      <c r="J2" s="299"/>
      <c r="K2" s="299"/>
      <c r="L2" s="299"/>
      <c r="M2" s="299"/>
      <c r="N2" s="299"/>
      <c r="O2" s="299"/>
      <c r="P2" s="299"/>
      <c r="Q2" s="299"/>
      <c r="R2" s="299"/>
      <c r="S2" s="300"/>
    </row>
    <row r="3" spans="1:19" ht="15.75" thickBot="1"/>
    <row r="4" spans="1:19" ht="48" customHeight="1" thickBot="1">
      <c r="B4" s="291" t="s">
        <v>111</v>
      </c>
      <c r="C4" s="292"/>
      <c r="D4" s="292"/>
      <c r="E4" s="292"/>
      <c r="F4" s="292"/>
      <c r="G4" s="292"/>
      <c r="H4" s="292"/>
      <c r="I4" s="292"/>
      <c r="J4" s="292"/>
      <c r="K4" s="292"/>
      <c r="L4" s="292"/>
      <c r="M4" s="292"/>
      <c r="N4" s="292"/>
      <c r="O4" s="292"/>
      <c r="P4" s="292"/>
      <c r="Q4" s="292"/>
      <c r="R4" s="292"/>
      <c r="S4" s="293"/>
    </row>
    <row r="5" spans="1:19" ht="30.75" thickBot="1">
      <c r="B5" s="144" t="s">
        <v>97</v>
      </c>
      <c r="C5" s="145">
        <v>2025</v>
      </c>
      <c r="D5" s="145">
        <v>2035</v>
      </c>
      <c r="E5" s="145">
        <v>2050</v>
      </c>
    </row>
    <row r="6" spans="1:19" ht="45" customHeight="1">
      <c r="A6" s="147"/>
      <c r="B6" s="155">
        <f>'B.Data- Town Info'!E35</f>
        <v>24.132873543148978</v>
      </c>
      <c r="C6" s="155">
        <f>'B.Data- Town Info'!F35</f>
        <v>21.774433628704873</v>
      </c>
      <c r="D6" s="155">
        <f>'B.Data- Town Info'!G35</f>
        <v>19.44733510847265</v>
      </c>
      <c r="E6" s="155">
        <f>'B.Data- Town Info'!H35</f>
        <v>16.078135230695359</v>
      </c>
      <c r="F6" s="294" t="s">
        <v>103</v>
      </c>
      <c r="G6" s="294"/>
      <c r="H6" s="294"/>
      <c r="I6" s="294"/>
      <c r="J6" s="294"/>
      <c r="K6" s="294"/>
      <c r="L6" s="294"/>
      <c r="M6" s="294"/>
      <c r="N6" s="294"/>
      <c r="O6" s="295"/>
    </row>
    <row r="7" spans="1:19" s="58" customFormat="1" ht="45" customHeight="1">
      <c r="B7" s="157">
        <f>B6*1000</f>
        <v>24132.873543148977</v>
      </c>
      <c r="C7" s="153">
        <f t="shared" ref="C7:E7" si="0">C6*1000</f>
        <v>21774.433628704872</v>
      </c>
      <c r="D7" s="153">
        <f t="shared" si="0"/>
        <v>19447.335108472649</v>
      </c>
      <c r="E7" s="153">
        <f t="shared" si="0"/>
        <v>16078.135230695359</v>
      </c>
      <c r="F7" s="287" t="s">
        <v>105</v>
      </c>
      <c r="G7" s="287"/>
      <c r="H7" s="287"/>
      <c r="I7" s="287"/>
      <c r="J7" s="287"/>
      <c r="K7" s="287"/>
      <c r="L7" s="287"/>
      <c r="M7" s="287"/>
      <c r="N7" s="287"/>
      <c r="O7" s="288"/>
    </row>
    <row r="8" spans="1:19" s="58" customFormat="1" ht="45" customHeight="1">
      <c r="B8" s="157">
        <f>('A. Data- LEAP Windham'!C9+'A. Data- LEAP Windham'!C10)*1000</f>
        <v>17000</v>
      </c>
      <c r="C8" s="153">
        <f>('A. Data- LEAP Windham'!D9+'A. Data- LEAP Windham'!D10)*1000</f>
        <v>92000</v>
      </c>
      <c r="D8" s="153">
        <f>('A. Data- LEAP Windham'!E9+'A. Data- LEAP Windham'!E10)*1000</f>
        <v>173000</v>
      </c>
      <c r="E8" s="153">
        <f>('A. Data- LEAP Windham'!F9+'A. Data- LEAP Windham'!F10)*1000</f>
        <v>289000</v>
      </c>
      <c r="F8" s="287" t="s">
        <v>107</v>
      </c>
      <c r="G8" s="287"/>
      <c r="H8" s="287"/>
      <c r="I8" s="287"/>
      <c r="J8" s="287"/>
      <c r="K8" s="287"/>
      <c r="L8" s="287"/>
      <c r="M8" s="287"/>
      <c r="N8" s="287"/>
      <c r="O8" s="288"/>
    </row>
    <row r="9" spans="1:19" s="58" customFormat="1" ht="45" customHeight="1">
      <c r="A9" s="147"/>
      <c r="B9" s="160">
        <f>B8*0.0078</f>
        <v>132.6</v>
      </c>
      <c r="C9" s="160">
        <f t="shared" ref="C9:E9" si="1">C8*0.0078</f>
        <v>717.6</v>
      </c>
      <c r="D9" s="160">
        <f t="shared" si="1"/>
        <v>1349.3999999999999</v>
      </c>
      <c r="E9" s="160">
        <f t="shared" si="1"/>
        <v>2254.1999999999998</v>
      </c>
      <c r="F9" s="287" t="s">
        <v>109</v>
      </c>
      <c r="G9" s="287"/>
      <c r="H9" s="287"/>
      <c r="I9" s="287"/>
      <c r="J9" s="287"/>
      <c r="K9" s="287"/>
      <c r="L9" s="287"/>
      <c r="M9" s="287"/>
      <c r="N9" s="287"/>
      <c r="O9" s="288"/>
    </row>
    <row r="10" spans="1:19" ht="45" customHeight="1" thickBot="1">
      <c r="B10" s="173">
        <f>B9*(2.4-1)</f>
        <v>185.64</v>
      </c>
      <c r="C10" s="174">
        <f>C9*(2.6-1)</f>
        <v>1148.1600000000001</v>
      </c>
      <c r="D10" s="159">
        <f>D9*(2.8-1)</f>
        <v>2428.9199999999996</v>
      </c>
      <c r="E10" s="174">
        <f>E9*(3-1)</f>
        <v>4508.3999999999996</v>
      </c>
      <c r="F10" s="303" t="s">
        <v>101</v>
      </c>
      <c r="G10" s="303"/>
      <c r="H10" s="303"/>
      <c r="I10" s="303"/>
      <c r="J10" s="303"/>
      <c r="K10" s="303"/>
      <c r="L10" s="303"/>
      <c r="M10" s="303"/>
      <c r="N10" s="303"/>
      <c r="O10" s="304"/>
    </row>
    <row r="11" spans="1:19" ht="45" customHeight="1">
      <c r="A11" s="147"/>
      <c r="B11" s="155">
        <f>'B.Data- Town Info'!I35</f>
        <v>23.780282858265309</v>
      </c>
      <c r="C11" s="155">
        <f>'B.Data- Town Info'!J35</f>
        <v>20.489436466017722</v>
      </c>
      <c r="D11" s="155">
        <f>'B.Data- Town Info'!K35</f>
        <v>16.751975206250819</v>
      </c>
      <c r="E11" s="155">
        <f>'B.Data- Town Info'!L35</f>
        <v>11.572809812737351</v>
      </c>
      <c r="F11" s="294" t="s">
        <v>106</v>
      </c>
      <c r="G11" s="294"/>
      <c r="H11" s="294"/>
      <c r="I11" s="294"/>
      <c r="J11" s="294"/>
      <c r="K11" s="294"/>
      <c r="L11" s="294"/>
      <c r="M11" s="294"/>
      <c r="N11" s="294"/>
      <c r="O11" s="295"/>
    </row>
    <row r="12" spans="1:19" ht="45" customHeight="1">
      <c r="B12" s="157">
        <f>B11*1000</f>
        <v>23780.282858265309</v>
      </c>
      <c r="C12" s="153">
        <f t="shared" ref="C12:E12" si="2">C11*1000</f>
        <v>20489.436466017723</v>
      </c>
      <c r="D12" s="153">
        <f t="shared" si="2"/>
        <v>16751.97520625082</v>
      </c>
      <c r="E12" s="153">
        <f t="shared" si="2"/>
        <v>11572.809812737351</v>
      </c>
      <c r="F12" s="287" t="s">
        <v>104</v>
      </c>
      <c r="G12" s="287"/>
      <c r="H12" s="287"/>
      <c r="I12" s="287"/>
      <c r="J12" s="287"/>
      <c r="K12" s="287"/>
      <c r="L12" s="287"/>
      <c r="M12" s="287"/>
      <c r="N12" s="287"/>
      <c r="O12" s="288"/>
    </row>
    <row r="13" spans="1:19" ht="45" customHeight="1">
      <c r="B13" s="157">
        <f>('A. Data- LEAP Windham'!I9+'A. Data- LEAP Windham'!I10)*1000</f>
        <v>21000</v>
      </c>
      <c r="C13" s="153">
        <f>('A. Data- LEAP Windham'!J9+'A. Data- LEAP Windham'!J10)*1000</f>
        <v>112000</v>
      </c>
      <c r="D13" s="153">
        <f>('A. Data- LEAP Windham'!K9+'A. Data- LEAP Windham'!K10)*1000</f>
        <v>221000</v>
      </c>
      <c r="E13" s="153">
        <f>('A. Data- LEAP Windham'!L9+'A. Data- LEAP Windham'!L10)*1000</f>
        <v>312000</v>
      </c>
      <c r="F13" s="287" t="s">
        <v>108</v>
      </c>
      <c r="G13" s="287"/>
      <c r="H13" s="287"/>
      <c r="I13" s="287"/>
      <c r="J13" s="287"/>
      <c r="K13" s="287"/>
      <c r="L13" s="287"/>
      <c r="M13" s="287"/>
      <c r="N13" s="287"/>
      <c r="O13" s="288"/>
    </row>
    <row r="14" spans="1:19" ht="45" customHeight="1">
      <c r="A14" s="147"/>
      <c r="B14" s="160">
        <f>B13*0.0078</f>
        <v>163.79999999999998</v>
      </c>
      <c r="C14" s="160">
        <f t="shared" ref="C14:E14" si="3">C13*0.0078</f>
        <v>873.59999999999991</v>
      </c>
      <c r="D14" s="160">
        <f t="shared" si="3"/>
        <v>1723.8</v>
      </c>
      <c r="E14" s="160">
        <f t="shared" si="3"/>
        <v>2433.6</v>
      </c>
      <c r="F14" s="287" t="s">
        <v>110</v>
      </c>
      <c r="G14" s="287"/>
      <c r="H14" s="287"/>
      <c r="I14" s="287"/>
      <c r="J14" s="287"/>
      <c r="K14" s="287"/>
      <c r="L14" s="287"/>
      <c r="M14" s="287"/>
      <c r="N14" s="287"/>
      <c r="O14" s="288"/>
    </row>
    <row r="15" spans="1:19" ht="45" customHeight="1" thickBot="1">
      <c r="B15" s="158">
        <f>B14*(2.4-1)</f>
        <v>229.31999999999996</v>
      </c>
      <c r="C15" s="159">
        <f>C14*(2.6-1)</f>
        <v>1397.76</v>
      </c>
      <c r="D15" s="159">
        <f>D14*(2.8-1)</f>
        <v>3102.8399999999997</v>
      </c>
      <c r="E15" s="159">
        <f>E14*(3-1)</f>
        <v>4867.2</v>
      </c>
      <c r="F15" s="303" t="s">
        <v>101</v>
      </c>
      <c r="G15" s="303"/>
      <c r="H15" s="303"/>
      <c r="I15" s="303"/>
      <c r="J15" s="303"/>
      <c r="K15" s="303"/>
      <c r="L15" s="303"/>
      <c r="M15" s="303"/>
      <c r="N15" s="303"/>
      <c r="O15" s="304"/>
    </row>
    <row r="16" spans="1:19" ht="45" customHeight="1">
      <c r="B16" s="175">
        <f>B7+B10-B12-B15</f>
        <v>308.91068488366705</v>
      </c>
      <c r="C16" s="176">
        <f t="shared" ref="C16:E16" si="4">C7+C10-C12-C15</f>
        <v>1035.3971626871482</v>
      </c>
      <c r="D16" s="176">
        <f t="shared" si="4"/>
        <v>2021.4399022218281</v>
      </c>
      <c r="E16" s="176">
        <f t="shared" si="4"/>
        <v>4146.525417958007</v>
      </c>
      <c r="F16" s="294" t="s">
        <v>112</v>
      </c>
      <c r="G16" s="294"/>
      <c r="H16" s="294"/>
      <c r="I16" s="294"/>
      <c r="J16" s="294"/>
      <c r="K16" s="294"/>
      <c r="L16" s="294"/>
      <c r="M16" s="294"/>
      <c r="N16" s="294"/>
      <c r="O16" s="295"/>
    </row>
    <row r="17" spans="1:19" ht="58.5" customHeight="1">
      <c r="B17" s="244">
        <v>28</v>
      </c>
      <c r="C17" s="244">
        <v>28</v>
      </c>
      <c r="D17" s="244">
        <v>28</v>
      </c>
      <c r="E17" s="244">
        <v>28</v>
      </c>
      <c r="F17" s="287" t="s">
        <v>113</v>
      </c>
      <c r="G17" s="287"/>
      <c r="H17" s="287"/>
      <c r="I17" s="287"/>
      <c r="J17" s="287"/>
      <c r="K17" s="287"/>
      <c r="L17" s="287"/>
      <c r="M17" s="287"/>
      <c r="N17" s="287"/>
      <c r="O17" s="288"/>
    </row>
    <row r="18" spans="1:19" ht="39.75" customHeight="1" thickBot="1">
      <c r="B18" s="170">
        <f>B16/B17</f>
        <v>11.032524460130967</v>
      </c>
      <c r="C18" s="171">
        <f t="shared" ref="C18:E18" si="5">C16/C17</f>
        <v>36.978470095969577</v>
      </c>
      <c r="D18" s="171">
        <f t="shared" si="5"/>
        <v>72.194282222208145</v>
      </c>
      <c r="E18" s="171">
        <f t="shared" si="5"/>
        <v>148.09019349850024</v>
      </c>
      <c r="F18" s="303" t="s">
        <v>96</v>
      </c>
      <c r="G18" s="303"/>
      <c r="H18" s="303"/>
      <c r="I18" s="303"/>
      <c r="J18" s="303"/>
      <c r="K18" s="303"/>
      <c r="L18" s="303"/>
      <c r="M18" s="303"/>
      <c r="N18" s="303"/>
      <c r="O18" s="304"/>
    </row>
    <row r="19" spans="1:19" ht="45.75" customHeight="1">
      <c r="A19" s="147"/>
      <c r="B19" s="150">
        <v>396</v>
      </c>
      <c r="C19" s="150">
        <v>396</v>
      </c>
      <c r="D19" s="150">
        <v>396</v>
      </c>
      <c r="E19" s="150">
        <v>396</v>
      </c>
      <c r="F19" s="294" t="s">
        <v>116</v>
      </c>
      <c r="G19" s="294"/>
      <c r="H19" s="294"/>
      <c r="I19" s="294"/>
      <c r="J19" s="294"/>
      <c r="K19" s="294"/>
      <c r="L19" s="294"/>
      <c r="M19" s="294"/>
      <c r="N19" s="294"/>
      <c r="O19" s="295"/>
    </row>
    <row r="20" spans="1:19" ht="61.5" customHeight="1" thickBot="1">
      <c r="B20" s="168">
        <f>B18/B19</f>
        <v>2.7859910252855977E-2</v>
      </c>
      <c r="C20" s="169">
        <f t="shared" ref="C20:E20" si="6">C18/C19</f>
        <v>9.3379974989822159E-2</v>
      </c>
      <c r="D20" s="169">
        <f t="shared" si="6"/>
        <v>0.18230879349042461</v>
      </c>
      <c r="E20" s="169">
        <f t="shared" si="6"/>
        <v>0.37396513509722284</v>
      </c>
      <c r="F20" s="303" t="s">
        <v>117</v>
      </c>
      <c r="G20" s="303"/>
      <c r="H20" s="303"/>
      <c r="I20" s="303"/>
      <c r="J20" s="303"/>
      <c r="K20" s="303"/>
      <c r="L20" s="303"/>
      <c r="M20" s="303"/>
      <c r="N20" s="303"/>
      <c r="O20" s="304"/>
    </row>
    <row r="21" spans="1:19" ht="15.75" thickBot="1"/>
    <row r="22" spans="1:19" ht="45" customHeight="1" thickBot="1">
      <c r="B22" s="291" t="s">
        <v>119</v>
      </c>
      <c r="C22" s="292"/>
      <c r="D22" s="292"/>
      <c r="E22" s="292"/>
      <c r="F22" s="292"/>
      <c r="G22" s="292"/>
      <c r="H22" s="292"/>
      <c r="I22" s="292"/>
      <c r="J22" s="292"/>
      <c r="K22" s="292"/>
      <c r="L22" s="292"/>
      <c r="M22" s="292"/>
      <c r="N22" s="292"/>
      <c r="O22" s="292"/>
      <c r="P22" s="292"/>
      <c r="Q22" s="292"/>
      <c r="R22" s="292"/>
      <c r="S22" s="293"/>
    </row>
    <row r="23" spans="1:19" ht="44.25" customHeight="1" thickBot="1">
      <c r="B23" s="144" t="s">
        <v>97</v>
      </c>
      <c r="C23" s="145">
        <v>2025</v>
      </c>
      <c r="D23" s="145">
        <v>2035</v>
      </c>
      <c r="E23" s="145">
        <v>2050</v>
      </c>
      <c r="F23" s="58"/>
      <c r="G23" s="58"/>
      <c r="H23" s="58"/>
      <c r="I23" s="58"/>
      <c r="J23" s="58"/>
      <c r="K23" s="58"/>
      <c r="L23" s="58"/>
      <c r="M23" s="58"/>
      <c r="N23" s="58"/>
      <c r="O23" s="58"/>
    </row>
    <row r="24" spans="1:19" ht="48" customHeight="1">
      <c r="B24" s="240">
        <f>'A. Data- LEAP Windham'!O13-'A. Data- LEAP Windham'!O8</f>
        <v>700</v>
      </c>
      <c r="C24" s="241">
        <f>'A. Data- LEAP Windham'!P13-'A. Data- LEAP Windham'!P8</f>
        <v>667</v>
      </c>
      <c r="D24" s="241">
        <f>'A. Data- LEAP Windham'!Q13-'A. Data- LEAP Windham'!Q8</f>
        <v>617</v>
      </c>
      <c r="E24" s="241">
        <f>'A. Data- LEAP Windham'!R13-'A. Data- LEAP Windham'!R8</f>
        <v>548</v>
      </c>
      <c r="F24" s="294" t="s">
        <v>120</v>
      </c>
      <c r="G24" s="294"/>
      <c r="H24" s="294"/>
      <c r="I24" s="294"/>
      <c r="J24" s="294"/>
      <c r="K24" s="294"/>
      <c r="L24" s="294"/>
      <c r="M24" s="294"/>
      <c r="N24" s="294"/>
      <c r="O24" s="295"/>
    </row>
    <row r="25" spans="1:19" s="58" customFormat="1" ht="48" customHeight="1">
      <c r="B25" s="161">
        <f>B24*1000</f>
        <v>700000</v>
      </c>
      <c r="C25" s="162">
        <f>C24*1000</f>
        <v>667000</v>
      </c>
      <c r="D25" s="162">
        <f>D24*1000</f>
        <v>617000</v>
      </c>
      <c r="E25" s="162">
        <f>E24*1000</f>
        <v>548000</v>
      </c>
      <c r="F25" s="287" t="s">
        <v>123</v>
      </c>
      <c r="G25" s="287"/>
      <c r="H25" s="287"/>
      <c r="I25" s="287"/>
      <c r="J25" s="287"/>
      <c r="K25" s="287"/>
      <c r="L25" s="287"/>
      <c r="M25" s="287"/>
      <c r="N25" s="287"/>
      <c r="O25" s="288"/>
    </row>
    <row r="26" spans="1:19" ht="41.25" customHeight="1">
      <c r="B26" s="242">
        <f>'A. Data- LEAP Windham'!O8*1000</f>
        <v>587000</v>
      </c>
      <c r="C26" s="243">
        <f>'A. Data- LEAP Windham'!P8*1000</f>
        <v>624000</v>
      </c>
      <c r="D26" s="243">
        <f>'A. Data- LEAP Windham'!Q8*1000</f>
        <v>651000</v>
      </c>
      <c r="E26" s="243">
        <f>'A. Data- LEAP Windham'!R8*1000</f>
        <v>708000</v>
      </c>
      <c r="F26" s="287" t="s">
        <v>124</v>
      </c>
      <c r="G26" s="287"/>
      <c r="H26" s="287"/>
      <c r="I26" s="287"/>
      <c r="J26" s="287"/>
      <c r="K26" s="287"/>
      <c r="L26" s="287"/>
      <c r="M26" s="287"/>
      <c r="N26" s="287"/>
      <c r="O26" s="288"/>
    </row>
    <row r="27" spans="1:19" ht="60" customHeight="1">
      <c r="B27" s="161">
        <f>0.005*B26</f>
        <v>2935</v>
      </c>
      <c r="C27" s="162">
        <f>B27-((B27-E27)/3)</f>
        <v>13756.666666666666</v>
      </c>
      <c r="D27" s="162">
        <f>C27-((C27-E27)/3)</f>
        <v>20971.111111111109</v>
      </c>
      <c r="E27" s="162">
        <f>0.05*E26</f>
        <v>35400</v>
      </c>
      <c r="F27" s="287" t="s">
        <v>131</v>
      </c>
      <c r="G27" s="287"/>
      <c r="H27" s="287"/>
      <c r="I27" s="287"/>
      <c r="J27" s="287"/>
      <c r="K27" s="287"/>
      <c r="L27" s="287"/>
      <c r="M27" s="287"/>
      <c r="N27" s="287"/>
      <c r="O27" s="288"/>
    </row>
    <row r="28" spans="1:19" s="58" customFormat="1" ht="60" customHeight="1" thickBot="1">
      <c r="B28" s="163">
        <f>B27*(2.4-1)</f>
        <v>4109</v>
      </c>
      <c r="C28" s="164">
        <f>C27*(2.6-1)</f>
        <v>22010.666666666668</v>
      </c>
      <c r="D28" s="164">
        <f>D27*(2.8-1)</f>
        <v>37747.999999999993</v>
      </c>
      <c r="E28" s="164">
        <f>E27*(3-1)</f>
        <v>70800</v>
      </c>
      <c r="F28" s="289" t="s">
        <v>125</v>
      </c>
      <c r="G28" s="289"/>
      <c r="H28" s="289"/>
      <c r="I28" s="289"/>
      <c r="J28" s="289"/>
      <c r="K28" s="289"/>
      <c r="L28" s="289"/>
      <c r="M28" s="289"/>
      <c r="N28" s="289"/>
      <c r="O28" s="290"/>
    </row>
    <row r="29" spans="1:19" ht="51.75" customHeight="1">
      <c r="B29" s="240">
        <f>'A. Data- LEAP Windham'!U13-'A. Data- LEAP Windham'!U8</f>
        <v>698</v>
      </c>
      <c r="C29" s="241">
        <f>'A. Data- LEAP Windham'!V13-'A. Data- LEAP Windham'!V8</f>
        <v>649.5</v>
      </c>
      <c r="D29" s="241">
        <f>'A. Data- LEAP Windham'!W13-'A. Data- LEAP Windham'!W8</f>
        <v>584.29999999999995</v>
      </c>
      <c r="E29" s="241">
        <f>'A. Data- LEAP Windham'!X13-'A. Data- LEAP Windham'!X8</f>
        <v>490.29999999999995</v>
      </c>
      <c r="F29" s="294" t="s">
        <v>121</v>
      </c>
      <c r="G29" s="294"/>
      <c r="H29" s="294"/>
      <c r="I29" s="294"/>
      <c r="J29" s="294"/>
      <c r="K29" s="294"/>
      <c r="L29" s="294"/>
      <c r="M29" s="294"/>
      <c r="N29" s="294"/>
      <c r="O29" s="295"/>
    </row>
    <row r="30" spans="1:19" ht="41.25" customHeight="1">
      <c r="B30" s="161">
        <f>B29*1000</f>
        <v>698000</v>
      </c>
      <c r="C30" s="162">
        <f>C29*1000</f>
        <v>649500</v>
      </c>
      <c r="D30" s="162">
        <f>D29*1000</f>
        <v>584300</v>
      </c>
      <c r="E30" s="162">
        <f>E29*1000</f>
        <v>490299.99999999994</v>
      </c>
      <c r="F30" s="287" t="s">
        <v>126</v>
      </c>
      <c r="G30" s="287"/>
      <c r="H30" s="287"/>
      <c r="I30" s="287"/>
      <c r="J30" s="287"/>
      <c r="K30" s="287"/>
      <c r="L30" s="287"/>
      <c r="M30" s="287"/>
      <c r="N30" s="287"/>
      <c r="O30" s="288"/>
    </row>
    <row r="31" spans="1:19" ht="41.25" customHeight="1">
      <c r="B31" s="161">
        <f>'A. Data- LEAP Windham'!U8*1000</f>
        <v>578500</v>
      </c>
      <c r="C31" s="162">
        <f>'A. Data- LEAP Windham'!V8*1000</f>
        <v>572800</v>
      </c>
      <c r="D31" s="162">
        <f>'A. Data- LEAP Windham'!W8*1000</f>
        <v>555200</v>
      </c>
      <c r="E31" s="162">
        <f>'A. Data- LEAP Windham'!X8*1000</f>
        <v>537800</v>
      </c>
      <c r="F31" s="287" t="s">
        <v>127</v>
      </c>
      <c r="G31" s="287"/>
      <c r="H31" s="287"/>
      <c r="I31" s="287"/>
      <c r="J31" s="287"/>
      <c r="K31" s="287"/>
      <c r="L31" s="287"/>
      <c r="M31" s="287"/>
      <c r="N31" s="287"/>
      <c r="O31" s="288"/>
    </row>
    <row r="32" spans="1:19" ht="41.25" customHeight="1">
      <c r="B32" s="161">
        <f>B27</f>
        <v>2935</v>
      </c>
      <c r="C32" s="162">
        <f>B32-((B32-E32)/3)</f>
        <v>10920</v>
      </c>
      <c r="D32" s="162">
        <f>C32-((C32-E32)/3)</f>
        <v>16243.333333333332</v>
      </c>
      <c r="E32" s="162">
        <f>E31*0.05</f>
        <v>26890</v>
      </c>
      <c r="F32" s="287" t="s">
        <v>128</v>
      </c>
      <c r="G32" s="287"/>
      <c r="H32" s="287"/>
      <c r="I32" s="287"/>
      <c r="J32" s="287"/>
      <c r="K32" s="287"/>
      <c r="L32" s="287"/>
      <c r="M32" s="287"/>
      <c r="N32" s="287"/>
      <c r="O32" s="288"/>
    </row>
    <row r="33" spans="1:19" ht="51.75" customHeight="1" thickBot="1">
      <c r="B33" s="161">
        <f>B32*(2.4-1)</f>
        <v>4109</v>
      </c>
      <c r="C33" s="162">
        <f>C32*(2.6-1)</f>
        <v>17472</v>
      </c>
      <c r="D33" s="162">
        <f>D32*(2.8-1)</f>
        <v>29237.999999999996</v>
      </c>
      <c r="E33" s="162">
        <f>E32*(3-1)</f>
        <v>53780</v>
      </c>
      <c r="F33" s="301" t="s">
        <v>129</v>
      </c>
      <c r="G33" s="301"/>
      <c r="H33" s="301"/>
      <c r="I33" s="301"/>
      <c r="J33" s="301"/>
      <c r="K33" s="301"/>
      <c r="L33" s="301"/>
      <c r="M33" s="301"/>
      <c r="N33" s="301"/>
      <c r="O33" s="302"/>
    </row>
    <row r="34" spans="1:19" ht="41.25" customHeight="1">
      <c r="B34" s="240">
        <f t="shared" ref="B34:D34" si="7">B25+B27+B28-(B30+B32+B33)</f>
        <v>2000</v>
      </c>
      <c r="C34" s="241">
        <f t="shared" si="7"/>
        <v>24875.333333333256</v>
      </c>
      <c r="D34" s="241">
        <f t="shared" si="7"/>
        <v>45937.777777777752</v>
      </c>
      <c r="E34" s="241">
        <f>E25+E27+E28-(E30+E32+E33)</f>
        <v>83230</v>
      </c>
      <c r="F34" s="294" t="s">
        <v>130</v>
      </c>
      <c r="G34" s="294"/>
      <c r="H34" s="294"/>
      <c r="I34" s="294"/>
      <c r="J34" s="294"/>
      <c r="K34" s="294"/>
      <c r="L34" s="294"/>
      <c r="M34" s="294"/>
      <c r="N34" s="294"/>
      <c r="O34" s="295"/>
    </row>
    <row r="35" spans="1:19" ht="41.25" customHeight="1">
      <c r="B35" s="157">
        <v>140</v>
      </c>
      <c r="C35" s="153">
        <v>140</v>
      </c>
      <c r="D35" s="153">
        <v>140</v>
      </c>
      <c r="E35" s="153">
        <v>140</v>
      </c>
      <c r="F35" s="287" t="s">
        <v>132</v>
      </c>
      <c r="G35" s="287"/>
      <c r="H35" s="287"/>
      <c r="I35" s="287"/>
      <c r="J35" s="287"/>
      <c r="K35" s="287"/>
      <c r="L35" s="287"/>
      <c r="M35" s="287"/>
      <c r="N35" s="287"/>
      <c r="O35" s="288"/>
    </row>
    <row r="36" spans="1:19" ht="41.25" customHeight="1">
      <c r="B36" s="156">
        <f>B34/B35</f>
        <v>14.285714285714286</v>
      </c>
      <c r="C36" s="154">
        <f t="shared" ref="C36:E36" si="8">C34/C35</f>
        <v>177.68095238095182</v>
      </c>
      <c r="D36" s="154">
        <f t="shared" si="8"/>
        <v>328.12698412698393</v>
      </c>
      <c r="E36" s="154">
        <f t="shared" si="8"/>
        <v>594.5</v>
      </c>
      <c r="F36" s="287" t="s">
        <v>137</v>
      </c>
      <c r="G36" s="287"/>
      <c r="H36" s="287"/>
      <c r="I36" s="287"/>
      <c r="J36" s="287"/>
      <c r="K36" s="287"/>
      <c r="L36" s="287"/>
      <c r="M36" s="287"/>
      <c r="N36" s="287"/>
      <c r="O36" s="288"/>
    </row>
    <row r="37" spans="1:19" ht="41.25" customHeight="1">
      <c r="B37" s="167">
        <v>1998</v>
      </c>
      <c r="C37" s="165">
        <v>1998</v>
      </c>
      <c r="D37" s="165">
        <v>1998</v>
      </c>
      <c r="E37" s="165">
        <v>1998</v>
      </c>
      <c r="F37" s="287" t="s">
        <v>133</v>
      </c>
      <c r="G37" s="287"/>
      <c r="H37" s="287"/>
      <c r="I37" s="287"/>
      <c r="J37" s="287"/>
      <c r="K37" s="287"/>
      <c r="L37" s="287"/>
      <c r="M37" s="287"/>
      <c r="N37" s="287"/>
      <c r="O37" s="288"/>
    </row>
    <row r="38" spans="1:19" ht="53.25" customHeight="1" thickBot="1">
      <c r="B38" s="172">
        <f>B36/B37</f>
        <v>7.1500071500071507E-3</v>
      </c>
      <c r="C38" s="166">
        <f t="shared" ref="C38:E38" si="9">C36/C37</f>
        <v>8.8929405596071986E-2</v>
      </c>
      <c r="D38" s="166">
        <f t="shared" si="9"/>
        <v>0.16422771978327524</v>
      </c>
      <c r="E38" s="166">
        <f t="shared" si="9"/>
        <v>0.29754754754754753</v>
      </c>
      <c r="F38" s="287" t="s">
        <v>140</v>
      </c>
      <c r="G38" s="287"/>
      <c r="H38" s="287"/>
      <c r="I38" s="287"/>
      <c r="J38" s="287"/>
      <c r="K38" s="287"/>
      <c r="L38" s="287"/>
      <c r="M38" s="287"/>
      <c r="N38" s="287"/>
      <c r="O38" s="288"/>
    </row>
    <row r="39" spans="1:19" ht="41.25" customHeight="1">
      <c r="A39" s="147"/>
      <c r="B39" s="150">
        <v>14</v>
      </c>
      <c r="C39" s="150">
        <v>14</v>
      </c>
      <c r="D39" s="150">
        <v>14</v>
      </c>
      <c r="E39" s="150">
        <v>14</v>
      </c>
      <c r="F39" s="296" t="s">
        <v>139</v>
      </c>
      <c r="G39" s="296"/>
      <c r="H39" s="296"/>
      <c r="I39" s="296"/>
      <c r="J39" s="296"/>
      <c r="K39" s="296"/>
      <c r="L39" s="296"/>
      <c r="M39" s="296"/>
      <c r="N39" s="296"/>
      <c r="O39" s="297"/>
    </row>
    <row r="40" spans="1:19" ht="41.25" customHeight="1" thickBot="1">
      <c r="B40" s="170">
        <f>B39*B38</f>
        <v>0.10010010010010011</v>
      </c>
      <c r="C40" s="171">
        <f t="shared" ref="C40:E40" si="10">C39*C38</f>
        <v>1.2450116783450078</v>
      </c>
      <c r="D40" s="171">
        <f t="shared" si="10"/>
        <v>2.2991880769658533</v>
      </c>
      <c r="E40" s="171">
        <f t="shared" si="10"/>
        <v>4.1656656656656654</v>
      </c>
      <c r="F40" s="289" t="s">
        <v>138</v>
      </c>
      <c r="G40" s="289"/>
      <c r="H40" s="289"/>
      <c r="I40" s="289"/>
      <c r="J40" s="289"/>
      <c r="K40" s="289"/>
      <c r="L40" s="289"/>
      <c r="M40" s="289"/>
      <c r="N40" s="289"/>
      <c r="O40" s="290"/>
    </row>
    <row r="41" spans="1:19" ht="15.75" thickBot="1"/>
    <row r="42" spans="1:19" ht="48" customHeight="1" thickBot="1">
      <c r="B42" s="291" t="s">
        <v>142</v>
      </c>
      <c r="C42" s="292"/>
      <c r="D42" s="292"/>
      <c r="E42" s="292"/>
      <c r="F42" s="292"/>
      <c r="G42" s="292"/>
      <c r="H42" s="292"/>
      <c r="I42" s="292"/>
      <c r="J42" s="292"/>
      <c r="K42" s="292"/>
      <c r="L42" s="292"/>
      <c r="M42" s="292"/>
      <c r="N42" s="292"/>
      <c r="O42" s="292"/>
      <c r="P42" s="292"/>
      <c r="Q42" s="292"/>
      <c r="R42" s="292"/>
      <c r="S42" s="293"/>
    </row>
    <row r="43" spans="1:19" ht="30.75" thickBot="1">
      <c r="B43" s="144" t="s">
        <v>97</v>
      </c>
      <c r="C43" s="145">
        <v>2025</v>
      </c>
      <c r="D43" s="145">
        <v>2035</v>
      </c>
      <c r="E43" s="145">
        <v>2050</v>
      </c>
      <c r="F43" s="58"/>
      <c r="G43" s="58"/>
      <c r="H43" s="58"/>
      <c r="I43" s="58"/>
      <c r="J43" s="58"/>
      <c r="K43" s="58"/>
      <c r="L43" s="58"/>
      <c r="M43" s="58"/>
      <c r="N43" s="58"/>
      <c r="O43" s="58"/>
      <c r="P43" s="58"/>
      <c r="Q43" s="58"/>
      <c r="R43" s="58"/>
      <c r="S43" s="58"/>
    </row>
    <row r="44" spans="1:19" ht="42.75" customHeight="1">
      <c r="B44" s="240">
        <f>'A. Data- LEAP Windham'!C39</f>
        <v>155</v>
      </c>
      <c r="C44" s="241">
        <f>'A. Data- LEAP Windham'!D39</f>
        <v>175</v>
      </c>
      <c r="D44" s="241">
        <f>'A. Data- LEAP Windham'!E39</f>
        <v>193</v>
      </c>
      <c r="E44" s="241">
        <f>'A. Data- LEAP Windham'!F39</f>
        <v>214</v>
      </c>
      <c r="F44" s="294" t="s">
        <v>146</v>
      </c>
      <c r="G44" s="294"/>
      <c r="H44" s="294"/>
      <c r="I44" s="294"/>
      <c r="J44" s="294"/>
      <c r="K44" s="294"/>
      <c r="L44" s="294"/>
      <c r="M44" s="294"/>
      <c r="N44" s="294"/>
      <c r="O44" s="295"/>
      <c r="P44" s="58"/>
      <c r="Q44" s="58"/>
      <c r="R44" s="58"/>
      <c r="S44" s="58"/>
    </row>
    <row r="45" spans="1:19" s="58" customFormat="1" ht="42.75" customHeight="1">
      <c r="B45" s="161">
        <f>'A. Data- LEAP Windham'!I39</f>
        <v>144</v>
      </c>
      <c r="C45" s="162">
        <f>'A. Data- LEAP Windham'!J39</f>
        <v>134</v>
      </c>
      <c r="D45" s="162">
        <f>'A. Data- LEAP Windham'!K39</f>
        <v>126</v>
      </c>
      <c r="E45" s="162">
        <f>'A. Data- LEAP Windham'!L39</f>
        <v>116</v>
      </c>
      <c r="F45" s="287" t="s">
        <v>145</v>
      </c>
      <c r="G45" s="287"/>
      <c r="H45" s="287"/>
      <c r="I45" s="287"/>
      <c r="J45" s="287"/>
      <c r="K45" s="287"/>
      <c r="L45" s="287"/>
      <c r="M45" s="287"/>
      <c r="N45" s="287"/>
      <c r="O45" s="288"/>
    </row>
    <row r="46" spans="1:19" s="58" customFormat="1" ht="42.75" customHeight="1">
      <c r="B46" s="161">
        <f>B44-B45</f>
        <v>11</v>
      </c>
      <c r="C46" s="162">
        <f t="shared" ref="C46:E46" si="11">C44-C45</f>
        <v>41</v>
      </c>
      <c r="D46" s="162">
        <f t="shared" si="11"/>
        <v>67</v>
      </c>
      <c r="E46" s="162">
        <f t="shared" si="11"/>
        <v>98</v>
      </c>
      <c r="F46" s="287" t="s">
        <v>148</v>
      </c>
      <c r="G46" s="287"/>
      <c r="H46" s="287"/>
      <c r="I46" s="287"/>
      <c r="J46" s="287"/>
      <c r="K46" s="287"/>
      <c r="L46" s="287"/>
      <c r="M46" s="287"/>
      <c r="N46" s="287"/>
      <c r="O46" s="288"/>
    </row>
    <row r="47" spans="1:19" ht="42.75" customHeight="1">
      <c r="B47" s="161">
        <f>B46*1000000</f>
        <v>11000000</v>
      </c>
      <c r="C47" s="162">
        <f t="shared" ref="C47:E47" si="12">C46*1000000</f>
        <v>41000000</v>
      </c>
      <c r="D47" s="162">
        <f t="shared" si="12"/>
        <v>67000000</v>
      </c>
      <c r="E47" s="162">
        <f t="shared" si="12"/>
        <v>98000000</v>
      </c>
      <c r="F47" s="287" t="s">
        <v>147</v>
      </c>
      <c r="G47" s="287"/>
      <c r="H47" s="287"/>
      <c r="I47" s="287"/>
      <c r="J47" s="287"/>
      <c r="K47" s="287"/>
      <c r="L47" s="287"/>
      <c r="M47" s="287"/>
      <c r="N47" s="287"/>
      <c r="O47" s="288"/>
      <c r="P47" s="58"/>
      <c r="Q47" s="58"/>
      <c r="R47" s="58"/>
      <c r="S47" s="58"/>
    </row>
    <row r="48" spans="1:19" ht="42.75" customHeight="1" thickBot="1">
      <c r="A48" s="147"/>
      <c r="B48" s="245">
        <v>1.8100000000000002E-2</v>
      </c>
      <c r="C48" s="245">
        <v>1.8100000000000002E-2</v>
      </c>
      <c r="D48" s="245">
        <v>1.8100000000000002E-2</v>
      </c>
      <c r="E48" s="245">
        <v>1.8100000000000002E-2</v>
      </c>
      <c r="F48" s="287" t="s">
        <v>226</v>
      </c>
      <c r="G48" s="287"/>
      <c r="H48" s="287"/>
      <c r="I48" s="287"/>
      <c r="J48" s="287"/>
      <c r="K48" s="287"/>
      <c r="L48" s="287"/>
      <c r="M48" s="287"/>
      <c r="N48" s="287"/>
      <c r="O48" s="288"/>
      <c r="P48" s="58"/>
      <c r="Q48" s="58"/>
      <c r="R48" s="58"/>
      <c r="S48" s="58"/>
    </row>
    <row r="49" spans="2:19" ht="42.75" customHeight="1">
      <c r="B49" s="197">
        <f>B47*B48</f>
        <v>199100.00000000003</v>
      </c>
      <c r="C49" s="198">
        <f t="shared" ref="C49:E49" si="13">C47*C48</f>
        <v>742100.00000000012</v>
      </c>
      <c r="D49" s="198">
        <f t="shared" si="13"/>
        <v>1212700</v>
      </c>
      <c r="E49" s="198">
        <f t="shared" si="13"/>
        <v>1773800.0000000002</v>
      </c>
      <c r="F49" s="294" t="s">
        <v>152</v>
      </c>
      <c r="G49" s="294"/>
      <c r="H49" s="294"/>
      <c r="I49" s="294"/>
      <c r="J49" s="294"/>
      <c r="K49" s="294"/>
      <c r="L49" s="294"/>
      <c r="M49" s="294"/>
      <c r="N49" s="294"/>
      <c r="O49" s="295"/>
      <c r="P49" s="58"/>
      <c r="Q49" s="58"/>
      <c r="R49" s="58"/>
      <c r="S49" s="58"/>
    </row>
    <row r="50" spans="2:19" ht="42.75" customHeight="1" thickBot="1">
      <c r="B50" s="195">
        <f>B46/E46</f>
        <v>0.11224489795918367</v>
      </c>
      <c r="C50" s="196">
        <f>C46/E46</f>
        <v>0.41836734693877553</v>
      </c>
      <c r="D50" s="196">
        <f>D46/E46</f>
        <v>0.68367346938775508</v>
      </c>
      <c r="E50" s="196">
        <f>E46/E46</f>
        <v>1</v>
      </c>
      <c r="F50" s="289" t="s">
        <v>153</v>
      </c>
      <c r="G50" s="289"/>
      <c r="H50" s="289"/>
      <c r="I50" s="289"/>
      <c r="J50" s="289"/>
      <c r="K50" s="289"/>
      <c r="L50" s="289"/>
      <c r="M50" s="289"/>
      <c r="N50" s="289"/>
      <c r="O50" s="290"/>
      <c r="P50" s="58"/>
      <c r="Q50" s="58"/>
      <c r="R50" s="58"/>
      <c r="S50" s="58"/>
    </row>
  </sheetData>
  <mergeCells count="43">
    <mergeCell ref="F6:O6"/>
    <mergeCell ref="F10:O10"/>
    <mergeCell ref="F11:O11"/>
    <mergeCell ref="F12:O12"/>
    <mergeCell ref="F13:O13"/>
    <mergeCell ref="F7:O7"/>
    <mergeCell ref="F8:O8"/>
    <mergeCell ref="F9:O9"/>
    <mergeCell ref="F16:O16"/>
    <mergeCell ref="F17:O17"/>
    <mergeCell ref="F14:O14"/>
    <mergeCell ref="F15:O15"/>
    <mergeCell ref="F26:O26"/>
    <mergeCell ref="F27:O27"/>
    <mergeCell ref="F29:O29"/>
    <mergeCell ref="F28:O28"/>
    <mergeCell ref="F18:O18"/>
    <mergeCell ref="F19:O19"/>
    <mergeCell ref="F20:O20"/>
    <mergeCell ref="F39:O39"/>
    <mergeCell ref="F40:O40"/>
    <mergeCell ref="B2:S2"/>
    <mergeCell ref="B22:S22"/>
    <mergeCell ref="B4:S4"/>
    <mergeCell ref="F25:O25"/>
    <mergeCell ref="F35:O35"/>
    <mergeCell ref="F36:O36"/>
    <mergeCell ref="F37:O37"/>
    <mergeCell ref="F38:O38"/>
    <mergeCell ref="F30:O30"/>
    <mergeCell ref="F31:O31"/>
    <mergeCell ref="F32:O32"/>
    <mergeCell ref="F33:O33"/>
    <mergeCell ref="F34:O34"/>
    <mergeCell ref="F24:O24"/>
    <mergeCell ref="F45:O45"/>
    <mergeCell ref="F46:O46"/>
    <mergeCell ref="F50:O50"/>
    <mergeCell ref="B42:S42"/>
    <mergeCell ref="F44:O44"/>
    <mergeCell ref="F47:O47"/>
    <mergeCell ref="F48:O48"/>
    <mergeCell ref="F49:O49"/>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dimension ref="A1:AB62"/>
  <sheetViews>
    <sheetView zoomScale="80" zoomScaleNormal="80" workbookViewId="0">
      <selection activeCell="F31" sqref="F31:O31"/>
    </sheetView>
  </sheetViews>
  <sheetFormatPr defaultRowHeight="15"/>
  <cols>
    <col min="1" max="1" width="2.5703125" customWidth="1"/>
    <col min="2" max="5" width="20.85546875" customWidth="1"/>
    <col min="20" max="20" width="11.28515625" customWidth="1"/>
  </cols>
  <sheetData>
    <row r="1" spans="1:28" ht="15.75" thickBot="1"/>
    <row r="2" spans="1:28" ht="158.25" customHeight="1" thickBot="1">
      <c r="B2" s="298" t="s">
        <v>184</v>
      </c>
      <c r="C2" s="299"/>
      <c r="D2" s="299"/>
      <c r="E2" s="299"/>
      <c r="F2" s="299"/>
      <c r="G2" s="299"/>
      <c r="H2" s="299"/>
      <c r="I2" s="299"/>
      <c r="J2" s="299"/>
      <c r="K2" s="299"/>
      <c r="L2" s="299"/>
      <c r="M2" s="299"/>
      <c r="N2" s="299"/>
      <c r="O2" s="299"/>
      <c r="P2" s="299"/>
      <c r="Q2" s="299"/>
      <c r="R2" s="299"/>
      <c r="S2" s="300"/>
    </row>
    <row r="3" spans="1:28" ht="21.75" customHeight="1" thickBot="1">
      <c r="B3" s="58"/>
      <c r="C3" s="58"/>
      <c r="D3" s="58"/>
      <c r="E3" s="58"/>
      <c r="F3" s="58"/>
      <c r="G3" s="58"/>
      <c r="H3" s="58"/>
      <c r="I3" s="58"/>
      <c r="J3" s="58"/>
      <c r="K3" s="58"/>
      <c r="L3" s="58"/>
      <c r="M3" s="58"/>
      <c r="N3" s="58"/>
      <c r="O3" s="58"/>
      <c r="P3" s="58"/>
      <c r="Q3" s="58"/>
      <c r="R3" s="58"/>
      <c r="S3" s="58"/>
    </row>
    <row r="4" spans="1:28" ht="39" customHeight="1" thickBot="1">
      <c r="B4" s="291" t="s">
        <v>155</v>
      </c>
      <c r="C4" s="292"/>
      <c r="D4" s="292"/>
      <c r="E4" s="292"/>
      <c r="F4" s="292"/>
      <c r="G4" s="292"/>
      <c r="H4" s="292"/>
      <c r="I4" s="292"/>
      <c r="J4" s="292"/>
      <c r="K4" s="292"/>
      <c r="L4" s="292"/>
      <c r="M4" s="292"/>
      <c r="N4" s="292"/>
      <c r="O4" s="292"/>
      <c r="P4" s="292"/>
      <c r="Q4" s="292"/>
      <c r="R4" s="292"/>
      <c r="S4" s="293"/>
    </row>
    <row r="5" spans="1:28" ht="15.75" thickBot="1">
      <c r="B5" s="144" t="s">
        <v>97</v>
      </c>
      <c r="C5" s="145">
        <v>2025</v>
      </c>
      <c r="D5" s="145">
        <v>2035</v>
      </c>
      <c r="E5" s="145">
        <v>2050</v>
      </c>
      <c r="F5" s="58"/>
      <c r="G5" s="58"/>
      <c r="H5" s="58"/>
      <c r="I5" s="58"/>
      <c r="J5" s="58"/>
      <c r="K5" s="58"/>
      <c r="L5" s="58"/>
      <c r="M5" s="58"/>
      <c r="N5" s="58"/>
      <c r="O5" s="58"/>
      <c r="P5" s="58"/>
      <c r="Q5" s="58"/>
      <c r="R5" s="58"/>
      <c r="S5" s="58"/>
    </row>
    <row r="6" spans="1:28" ht="35.25" customHeight="1">
      <c r="B6" s="205">
        <f>'A. Data- LEAP Windham'!C7*1000000000</f>
        <v>1106000000000</v>
      </c>
      <c r="C6" s="209">
        <f>'A. Data- LEAP Windham'!D7*1000000000</f>
        <v>1044000000000</v>
      </c>
      <c r="D6" s="209">
        <f>'A. Data- LEAP Windham'!E7*1000000000</f>
        <v>1002000000000</v>
      </c>
      <c r="E6" s="209">
        <f>'A. Data- LEAP Windham'!F7*1000000000</f>
        <v>976000000000</v>
      </c>
      <c r="F6" s="329" t="s">
        <v>162</v>
      </c>
      <c r="G6" s="329"/>
      <c r="H6" s="329"/>
      <c r="I6" s="329"/>
      <c r="J6" s="329"/>
      <c r="K6" s="329"/>
      <c r="L6" s="329"/>
      <c r="M6" s="329"/>
      <c r="N6" s="329"/>
      <c r="O6" s="330"/>
      <c r="P6" s="58"/>
      <c r="Q6" s="58"/>
      <c r="S6" s="58"/>
    </row>
    <row r="7" spans="1:28" s="58" customFormat="1" ht="35.25" customHeight="1">
      <c r="B7" s="207">
        <f>B6/20000000</f>
        <v>55300</v>
      </c>
      <c r="C7" s="199">
        <f t="shared" ref="C7:E7" si="0">C6/20000000</f>
        <v>52200</v>
      </c>
      <c r="D7" s="199">
        <f t="shared" si="0"/>
        <v>50100</v>
      </c>
      <c r="E7" s="199">
        <f t="shared" si="0"/>
        <v>48800</v>
      </c>
      <c r="F7" s="309" t="s">
        <v>161</v>
      </c>
      <c r="G7" s="309"/>
      <c r="H7" s="309"/>
      <c r="I7" s="309"/>
      <c r="J7" s="309"/>
      <c r="K7" s="309"/>
      <c r="L7" s="309"/>
      <c r="M7" s="309"/>
      <c r="N7" s="309"/>
      <c r="O7" s="321"/>
    </row>
    <row r="8" spans="1:28" ht="30.75" customHeight="1">
      <c r="B8" s="207">
        <f>B7/4.8</f>
        <v>11520.833333333334</v>
      </c>
      <c r="C8" s="199">
        <f t="shared" ref="C8:E8" si="1">C7/4.8</f>
        <v>10875</v>
      </c>
      <c r="D8" s="199">
        <f t="shared" si="1"/>
        <v>10437.5</v>
      </c>
      <c r="E8" s="199">
        <f t="shared" si="1"/>
        <v>10166.666666666668</v>
      </c>
      <c r="F8" s="309" t="s">
        <v>163</v>
      </c>
      <c r="G8" s="309"/>
      <c r="H8" s="309"/>
      <c r="I8" s="309"/>
      <c r="J8" s="309"/>
      <c r="K8" s="309"/>
      <c r="L8" s="309"/>
      <c r="M8" s="309"/>
      <c r="N8" s="309"/>
      <c r="O8" s="321"/>
      <c r="P8" s="58"/>
      <c r="Q8" s="336" t="s">
        <v>157</v>
      </c>
      <c r="R8" s="337"/>
      <c r="S8" s="337"/>
      <c r="T8" s="337"/>
      <c r="U8" s="338"/>
    </row>
    <row r="9" spans="1:28" ht="37.5" customHeight="1">
      <c r="A9" s="147"/>
      <c r="B9" s="160">
        <f>B8*0.0078</f>
        <v>89.862499999999997</v>
      </c>
      <c r="C9" s="160">
        <f t="shared" ref="C9:E9" si="2">C8*0.0078</f>
        <v>84.825000000000003</v>
      </c>
      <c r="D9" s="160">
        <f t="shared" si="2"/>
        <v>81.412499999999994</v>
      </c>
      <c r="E9" s="160">
        <f t="shared" si="2"/>
        <v>79.300000000000011</v>
      </c>
      <c r="F9" s="322" t="s">
        <v>165</v>
      </c>
      <c r="G9" s="322"/>
      <c r="H9" s="322"/>
      <c r="I9" s="322"/>
      <c r="J9" s="322"/>
      <c r="K9" s="322"/>
      <c r="L9" s="322"/>
      <c r="M9" s="322"/>
      <c r="N9" s="322"/>
      <c r="O9" s="323"/>
      <c r="P9" s="58"/>
      <c r="Q9" s="332" t="s">
        <v>158</v>
      </c>
      <c r="R9" s="308"/>
      <c r="S9" s="308"/>
      <c r="T9" s="308"/>
      <c r="U9" s="311"/>
      <c r="V9" s="331" t="s">
        <v>156</v>
      </c>
      <c r="W9" s="331"/>
      <c r="X9" s="331"/>
      <c r="Y9" s="331"/>
      <c r="Z9" s="331"/>
      <c r="AA9" s="331"/>
      <c r="AB9" s="331"/>
    </row>
    <row r="10" spans="1:28" ht="30.75" customHeight="1">
      <c r="B10" s="207">
        <f>'A. Data- LEAP Windham'!C15*1000000000</f>
        <v>150000000000</v>
      </c>
      <c r="C10" s="199">
        <f>'A. Data- LEAP Windham'!D15*1000000000</f>
        <v>160000000000</v>
      </c>
      <c r="D10" s="199">
        <f>'A. Data- LEAP Windham'!E15*1000000000</f>
        <v>178000000000</v>
      </c>
      <c r="E10" s="199">
        <f>'A. Data- LEAP Windham'!F15*1000000000</f>
        <v>226000000000</v>
      </c>
      <c r="F10" s="306" t="s">
        <v>166</v>
      </c>
      <c r="G10" s="306"/>
      <c r="H10" s="306"/>
      <c r="I10" s="306"/>
      <c r="J10" s="306"/>
      <c r="K10" s="306"/>
      <c r="L10" s="306"/>
      <c r="M10" s="306"/>
      <c r="N10" s="306"/>
      <c r="O10" s="320"/>
      <c r="P10" s="58"/>
      <c r="Q10" s="332"/>
      <c r="R10" s="308"/>
      <c r="S10" s="308"/>
      <c r="T10" s="308"/>
      <c r="U10" s="311"/>
      <c r="V10" s="331"/>
      <c r="W10" s="331"/>
      <c r="X10" s="331"/>
      <c r="Y10" s="331"/>
      <c r="Z10" s="331"/>
      <c r="AA10" s="331"/>
      <c r="AB10" s="331"/>
    </row>
    <row r="11" spans="1:28" ht="30.75" customHeight="1">
      <c r="B11" s="207">
        <f>B10/16500000</f>
        <v>9090.9090909090901</v>
      </c>
      <c r="C11" s="199">
        <f t="shared" ref="C11:E11" si="3">C10/16500000</f>
        <v>9696.9696969696961</v>
      </c>
      <c r="D11" s="199">
        <f t="shared" si="3"/>
        <v>10787.878787878788</v>
      </c>
      <c r="E11" s="199">
        <f t="shared" si="3"/>
        <v>13696.969696969696</v>
      </c>
      <c r="F11" s="309" t="s">
        <v>167</v>
      </c>
      <c r="G11" s="309"/>
      <c r="H11" s="309"/>
      <c r="I11" s="309"/>
      <c r="J11" s="309"/>
      <c r="K11" s="309"/>
      <c r="L11" s="309"/>
      <c r="M11" s="309"/>
      <c r="N11" s="309"/>
      <c r="O11" s="321"/>
      <c r="P11" s="58"/>
      <c r="Q11" s="332" t="s">
        <v>159</v>
      </c>
      <c r="R11" s="308"/>
      <c r="S11" s="308"/>
      <c r="T11" s="308"/>
      <c r="U11" s="311"/>
    </row>
    <row r="12" spans="1:28" ht="30.75" customHeight="1">
      <c r="B12" s="207">
        <f>B11/4.4</f>
        <v>2066.1157024793383</v>
      </c>
      <c r="C12" s="199">
        <f t="shared" ref="C12:E12" si="4">C11/4.4</f>
        <v>2203.8567493112946</v>
      </c>
      <c r="D12" s="199">
        <f t="shared" si="4"/>
        <v>2451.7906336088154</v>
      </c>
      <c r="E12" s="199">
        <f t="shared" si="4"/>
        <v>3112.9476584022036</v>
      </c>
      <c r="F12" s="309" t="s">
        <v>168</v>
      </c>
      <c r="G12" s="309"/>
      <c r="H12" s="309"/>
      <c r="I12" s="309"/>
      <c r="J12" s="309"/>
      <c r="K12" s="309"/>
      <c r="L12" s="309"/>
      <c r="M12" s="309"/>
      <c r="N12" s="309"/>
      <c r="O12" s="321"/>
      <c r="P12" s="58"/>
      <c r="Q12" s="332"/>
      <c r="R12" s="308"/>
      <c r="S12" s="308"/>
      <c r="T12" s="308"/>
      <c r="U12" s="311"/>
    </row>
    <row r="13" spans="1:28" ht="30.75" customHeight="1">
      <c r="A13" s="147"/>
      <c r="B13" s="160">
        <f>B12*0.0078</f>
        <v>16.115702479338839</v>
      </c>
      <c r="C13" s="160">
        <f t="shared" ref="C13" si="5">C12*0.0078</f>
        <v>17.190082644628099</v>
      </c>
      <c r="D13" s="160">
        <f t="shared" ref="D13" si="6">D12*0.0078</f>
        <v>19.123966942148758</v>
      </c>
      <c r="E13" s="160">
        <f t="shared" ref="E13" si="7">E12*0.0078</f>
        <v>24.280991735537189</v>
      </c>
      <c r="F13" s="322" t="s">
        <v>172</v>
      </c>
      <c r="G13" s="322"/>
      <c r="H13" s="322"/>
      <c r="I13" s="322"/>
      <c r="J13" s="322"/>
      <c r="K13" s="322"/>
      <c r="L13" s="322"/>
      <c r="M13" s="322"/>
      <c r="N13" s="322"/>
      <c r="O13" s="323"/>
      <c r="P13" s="58"/>
      <c r="Q13" s="332" t="s">
        <v>164</v>
      </c>
      <c r="R13" s="308"/>
      <c r="S13" s="308"/>
      <c r="T13" s="308"/>
      <c r="U13" s="311"/>
    </row>
    <row r="14" spans="1:28" ht="30.75" customHeight="1">
      <c r="B14" s="208">
        <f>'A. Data- LEAP Windham'!O12*1000000000</f>
        <v>105000000000</v>
      </c>
      <c r="C14" s="201">
        <f>'A. Data- LEAP Windham'!P12*1000000000</f>
        <v>118000000000</v>
      </c>
      <c r="D14" s="201">
        <f>'A. Data- LEAP Windham'!Q12*1000000000</f>
        <v>129000000000</v>
      </c>
      <c r="E14" s="201">
        <f>'A. Data- LEAP Windham'!R12*1000000000</f>
        <v>150000000000</v>
      </c>
      <c r="F14" s="306" t="s">
        <v>169</v>
      </c>
      <c r="G14" s="306"/>
      <c r="H14" s="306"/>
      <c r="I14" s="306"/>
      <c r="J14" s="306"/>
      <c r="K14" s="306"/>
      <c r="L14" s="306"/>
      <c r="M14" s="306"/>
      <c r="N14" s="306"/>
      <c r="O14" s="320"/>
      <c r="P14" s="58"/>
      <c r="Q14" s="333" t="s">
        <v>160</v>
      </c>
      <c r="R14" s="334"/>
      <c r="S14" s="334"/>
      <c r="T14" s="334"/>
      <c r="U14" s="335"/>
    </row>
    <row r="15" spans="1:28" ht="30.75" customHeight="1">
      <c r="B15" s="207">
        <f>B14/20000000</f>
        <v>5250</v>
      </c>
      <c r="C15" s="199">
        <f t="shared" ref="C15" si="8">C14/20000000</f>
        <v>5900</v>
      </c>
      <c r="D15" s="199">
        <f t="shared" ref="D15" si="9">D14/20000000</f>
        <v>6450</v>
      </c>
      <c r="E15" s="199">
        <f t="shared" ref="E15" si="10">E14/20000000</f>
        <v>7500</v>
      </c>
      <c r="F15" s="309" t="s">
        <v>170</v>
      </c>
      <c r="G15" s="309"/>
      <c r="H15" s="309"/>
      <c r="I15" s="309"/>
      <c r="J15" s="309"/>
      <c r="K15" s="309"/>
      <c r="L15" s="309"/>
      <c r="M15" s="309"/>
      <c r="N15" s="309"/>
      <c r="O15" s="321"/>
      <c r="P15" s="58"/>
      <c r="Q15" s="58"/>
      <c r="R15" s="58"/>
      <c r="S15" s="58"/>
    </row>
    <row r="16" spans="1:28" ht="30.75" customHeight="1">
      <c r="B16" s="207">
        <f>B15/4.8</f>
        <v>1093.75</v>
      </c>
      <c r="C16" s="199">
        <f t="shared" ref="C16" si="11">C15/4.8</f>
        <v>1229.1666666666667</v>
      </c>
      <c r="D16" s="199">
        <f t="shared" ref="D16" si="12">D15/4.8</f>
        <v>1343.75</v>
      </c>
      <c r="E16" s="199">
        <f t="shared" ref="E16" si="13">E15/4.8</f>
        <v>1562.5</v>
      </c>
      <c r="F16" s="309" t="s">
        <v>171</v>
      </c>
      <c r="G16" s="309"/>
      <c r="H16" s="309"/>
      <c r="I16" s="309"/>
      <c r="J16" s="309"/>
      <c r="K16" s="309"/>
      <c r="L16" s="309"/>
      <c r="M16" s="309"/>
      <c r="N16" s="309"/>
      <c r="O16" s="321"/>
      <c r="P16" s="58"/>
      <c r="Q16" s="58"/>
      <c r="R16" s="58"/>
      <c r="S16" s="58"/>
    </row>
    <row r="17" spans="1:19" ht="30.75" customHeight="1">
      <c r="A17" s="147"/>
      <c r="B17" s="156">
        <f>B16*0.007</f>
        <v>7.65625</v>
      </c>
      <c r="C17" s="156">
        <f t="shared" ref="C17:E17" si="14">C16*0.007</f>
        <v>8.6041666666666679</v>
      </c>
      <c r="D17" s="156">
        <f t="shared" si="14"/>
        <v>9.40625</v>
      </c>
      <c r="E17" s="156">
        <f t="shared" si="14"/>
        <v>10.9375</v>
      </c>
      <c r="F17" s="309" t="s">
        <v>173</v>
      </c>
      <c r="G17" s="309"/>
      <c r="H17" s="309"/>
      <c r="I17" s="309"/>
      <c r="J17" s="309"/>
      <c r="K17" s="309"/>
      <c r="L17" s="309"/>
      <c r="M17" s="309"/>
      <c r="N17" s="309"/>
      <c r="O17" s="321"/>
      <c r="P17" s="58"/>
      <c r="Q17" s="58"/>
      <c r="R17" s="58"/>
      <c r="S17" s="58"/>
    </row>
    <row r="18" spans="1:19" ht="30.75" customHeight="1" thickBot="1">
      <c r="B18" s="213">
        <f>SUM(B9,B13,B17)</f>
        <v>113.63445247933883</v>
      </c>
      <c r="C18" s="214">
        <f t="shared" ref="C18:E18" si="15">SUM(C9,C13,C17)</f>
        <v>110.61924931129478</v>
      </c>
      <c r="D18" s="214">
        <f t="shared" si="15"/>
        <v>109.94271694214875</v>
      </c>
      <c r="E18" s="214">
        <f t="shared" si="15"/>
        <v>114.5184917355372</v>
      </c>
      <c r="F18" s="339" t="s">
        <v>175</v>
      </c>
      <c r="G18" s="339"/>
      <c r="H18" s="339"/>
      <c r="I18" s="339"/>
      <c r="J18" s="339"/>
      <c r="K18" s="339"/>
      <c r="L18" s="339"/>
      <c r="M18" s="339"/>
      <c r="N18" s="339"/>
      <c r="O18" s="340"/>
      <c r="P18" s="58"/>
      <c r="Q18" s="58"/>
      <c r="R18" s="58"/>
      <c r="S18" s="58"/>
    </row>
    <row r="19" spans="1:19" s="58" customFormat="1" ht="15.75" customHeight="1" thickBot="1">
      <c r="B19" s="203"/>
      <c r="C19" s="203"/>
      <c r="D19" s="203"/>
      <c r="E19" s="203"/>
      <c r="F19" s="204"/>
      <c r="G19" s="204"/>
      <c r="H19" s="204"/>
      <c r="I19" s="204"/>
      <c r="J19" s="204"/>
      <c r="K19" s="204"/>
      <c r="L19" s="204"/>
      <c r="M19" s="204"/>
      <c r="N19" s="204"/>
      <c r="O19" s="204"/>
    </row>
    <row r="20" spans="1:19" ht="33.75" customHeight="1">
      <c r="B20" s="205">
        <f>'A. Data- LEAP Windham'!I7*1000000000</f>
        <v>1096000000000</v>
      </c>
      <c r="C20" s="209">
        <f>'A. Data- LEAP Windham'!J7*1000000000</f>
        <v>984000000000</v>
      </c>
      <c r="D20" s="209">
        <f>'A. Data- LEAP Windham'!K7*1000000000</f>
        <v>863000000000</v>
      </c>
      <c r="E20" s="209">
        <f>'A. Data- LEAP Windham'!L7*1000000000</f>
        <v>738000000000</v>
      </c>
      <c r="F20" s="329" t="s">
        <v>176</v>
      </c>
      <c r="G20" s="329"/>
      <c r="H20" s="329"/>
      <c r="I20" s="329"/>
      <c r="J20" s="329"/>
      <c r="K20" s="329"/>
      <c r="L20" s="329"/>
      <c r="M20" s="329"/>
      <c r="N20" s="329"/>
      <c r="O20" s="330"/>
      <c r="P20" s="58"/>
      <c r="Q20" s="58"/>
      <c r="R20" s="58"/>
      <c r="S20" s="58"/>
    </row>
    <row r="21" spans="1:19" ht="33.75" customHeight="1">
      <c r="B21" s="207">
        <f>B20/20000000</f>
        <v>54800</v>
      </c>
      <c r="C21" s="199">
        <f t="shared" ref="C21" si="16">C20/20000000</f>
        <v>49200</v>
      </c>
      <c r="D21" s="199">
        <f t="shared" ref="D21" si="17">D20/20000000</f>
        <v>43150</v>
      </c>
      <c r="E21" s="199">
        <f t="shared" ref="E21" si="18">E20/20000000</f>
        <v>36900</v>
      </c>
      <c r="F21" s="309" t="s">
        <v>161</v>
      </c>
      <c r="G21" s="309"/>
      <c r="H21" s="309"/>
      <c r="I21" s="309"/>
      <c r="J21" s="309"/>
      <c r="K21" s="309"/>
      <c r="L21" s="309"/>
      <c r="M21" s="309"/>
      <c r="N21" s="309"/>
      <c r="O21" s="321"/>
    </row>
    <row r="22" spans="1:19" ht="33.75" customHeight="1">
      <c r="B22" s="207">
        <f>B21/4.8</f>
        <v>11416.666666666668</v>
      </c>
      <c r="C22" s="199">
        <f t="shared" ref="C22" si="19">C21/4.8</f>
        <v>10250</v>
      </c>
      <c r="D22" s="199">
        <f t="shared" ref="D22" si="20">D21/4.8</f>
        <v>8989.5833333333339</v>
      </c>
      <c r="E22" s="199">
        <f t="shared" ref="E22" si="21">E21/4.8</f>
        <v>7687.5</v>
      </c>
      <c r="F22" s="309" t="s">
        <v>163</v>
      </c>
      <c r="G22" s="309"/>
      <c r="H22" s="309"/>
      <c r="I22" s="309"/>
      <c r="J22" s="309"/>
      <c r="K22" s="309"/>
      <c r="L22" s="309"/>
      <c r="M22" s="309"/>
      <c r="N22" s="309"/>
      <c r="O22" s="321"/>
    </row>
    <row r="23" spans="1:19" ht="33.75" customHeight="1">
      <c r="A23" s="147"/>
      <c r="B23" s="160">
        <f>B22*0.0078</f>
        <v>89.050000000000011</v>
      </c>
      <c r="C23" s="160">
        <f t="shared" ref="C23" si="22">C22*0.0078</f>
        <v>79.95</v>
      </c>
      <c r="D23" s="160">
        <f t="shared" ref="D23" si="23">D22*0.0078</f>
        <v>70.118750000000006</v>
      </c>
      <c r="E23" s="160">
        <f t="shared" ref="E23" si="24">E22*0.0078</f>
        <v>59.962499999999999</v>
      </c>
      <c r="F23" s="322" t="s">
        <v>177</v>
      </c>
      <c r="G23" s="322"/>
      <c r="H23" s="322"/>
      <c r="I23" s="322"/>
      <c r="J23" s="322"/>
      <c r="K23" s="322"/>
      <c r="L23" s="322"/>
      <c r="M23" s="322"/>
      <c r="N23" s="322"/>
      <c r="O23" s="323"/>
    </row>
    <row r="24" spans="1:19" ht="33.75" customHeight="1">
      <c r="B24" s="208">
        <f>'A. Data- LEAP Windham'!I15*1000000000</f>
        <v>147000000000</v>
      </c>
      <c r="C24" s="201">
        <f>'A. Data- LEAP Windham'!J15*1000000000</f>
        <v>179000000000</v>
      </c>
      <c r="D24" s="201">
        <f>'A. Data- LEAP Windham'!K15*1000000000</f>
        <v>196000000000</v>
      </c>
      <c r="E24" s="201">
        <f>'A. Data- LEAP Windham'!L15*1000000000</f>
        <v>246000000000</v>
      </c>
      <c r="F24" s="306" t="s">
        <v>180</v>
      </c>
      <c r="G24" s="306"/>
      <c r="H24" s="306"/>
      <c r="I24" s="306"/>
      <c r="J24" s="306"/>
      <c r="K24" s="306"/>
      <c r="L24" s="306"/>
      <c r="M24" s="306"/>
      <c r="N24" s="306"/>
      <c r="O24" s="320"/>
    </row>
    <row r="25" spans="1:19" ht="33.75" customHeight="1">
      <c r="B25" s="207">
        <f>B24/16500000</f>
        <v>8909.0909090909099</v>
      </c>
      <c r="C25" s="199">
        <f t="shared" ref="C25" si="25">C24/16500000</f>
        <v>10848.484848484848</v>
      </c>
      <c r="D25" s="199">
        <f t="shared" ref="D25" si="26">D24/16500000</f>
        <v>11878.787878787878</v>
      </c>
      <c r="E25" s="199">
        <f t="shared" ref="E25" si="27">E24/16500000</f>
        <v>14909.09090909091</v>
      </c>
      <c r="F25" s="309" t="s">
        <v>167</v>
      </c>
      <c r="G25" s="309"/>
      <c r="H25" s="309"/>
      <c r="I25" s="309"/>
      <c r="J25" s="309"/>
      <c r="K25" s="309"/>
      <c r="L25" s="309"/>
      <c r="M25" s="309"/>
      <c r="N25" s="309"/>
      <c r="O25" s="321"/>
    </row>
    <row r="26" spans="1:19" ht="33.75" customHeight="1">
      <c r="B26" s="207">
        <f>B25/4.4</f>
        <v>2024.793388429752</v>
      </c>
      <c r="C26" s="199">
        <f t="shared" ref="C26" si="28">C25/4.4</f>
        <v>2465.5647382920106</v>
      </c>
      <c r="D26" s="199">
        <f t="shared" ref="D26" si="29">D25/4.4</f>
        <v>2699.7245179063357</v>
      </c>
      <c r="E26" s="199">
        <f t="shared" ref="E26" si="30">E25/4.4</f>
        <v>3388.4297520661157</v>
      </c>
      <c r="F26" s="309" t="s">
        <v>168</v>
      </c>
      <c r="G26" s="309"/>
      <c r="H26" s="309"/>
      <c r="I26" s="309"/>
      <c r="J26" s="309"/>
      <c r="K26" s="309"/>
      <c r="L26" s="309"/>
      <c r="M26" s="309"/>
      <c r="N26" s="309"/>
      <c r="O26" s="321"/>
    </row>
    <row r="27" spans="1:19" ht="33.75" customHeight="1">
      <c r="A27" s="147"/>
      <c r="B27" s="160">
        <f>B26*0.0078</f>
        <v>15.793388429752065</v>
      </c>
      <c r="C27" s="160">
        <f t="shared" ref="C27" si="31">C26*0.0078</f>
        <v>19.231404958677683</v>
      </c>
      <c r="D27" s="160">
        <f t="shared" ref="D27" si="32">D26*0.0078</f>
        <v>21.057851239669418</v>
      </c>
      <c r="E27" s="160">
        <f t="shared" ref="E27" si="33">E26*0.0078</f>
        <v>26.4297520661157</v>
      </c>
      <c r="F27" s="322" t="s">
        <v>178</v>
      </c>
      <c r="G27" s="322"/>
      <c r="H27" s="322"/>
      <c r="I27" s="322"/>
      <c r="J27" s="322"/>
      <c r="K27" s="322"/>
      <c r="L27" s="322"/>
      <c r="M27" s="322"/>
      <c r="N27" s="322"/>
      <c r="O27" s="323"/>
    </row>
    <row r="28" spans="1:19" ht="33.75" customHeight="1">
      <c r="B28" s="208">
        <f>'A. Data- LEAP Windham'!U12*1000000000</f>
        <v>109900000000</v>
      </c>
      <c r="C28" s="201">
        <f>'A. Data- LEAP Windham'!V12*1000000000</f>
        <v>150100000000</v>
      </c>
      <c r="D28" s="201">
        <f>'A. Data- LEAP Windham'!W12*1000000000</f>
        <v>189900000000</v>
      </c>
      <c r="E28" s="201">
        <f>'A. Data- LEAP Windham'!X12*1000000000</f>
        <v>258200000000</v>
      </c>
      <c r="F28" s="306" t="s">
        <v>179</v>
      </c>
      <c r="G28" s="306"/>
      <c r="H28" s="306"/>
      <c r="I28" s="306"/>
      <c r="J28" s="306"/>
      <c r="K28" s="306"/>
      <c r="L28" s="306"/>
      <c r="M28" s="306"/>
      <c r="N28" s="306"/>
      <c r="O28" s="320"/>
    </row>
    <row r="29" spans="1:19" ht="33.75" customHeight="1">
      <c r="B29" s="207">
        <f>B28/20000000</f>
        <v>5495</v>
      </c>
      <c r="C29" s="199">
        <f t="shared" ref="C29" si="34">C28/20000000</f>
        <v>7505</v>
      </c>
      <c r="D29" s="199">
        <f t="shared" ref="D29" si="35">D28/20000000</f>
        <v>9495</v>
      </c>
      <c r="E29" s="199">
        <f t="shared" ref="E29" si="36">E28/20000000</f>
        <v>12910</v>
      </c>
      <c r="F29" s="309" t="s">
        <v>170</v>
      </c>
      <c r="G29" s="309"/>
      <c r="H29" s="309"/>
      <c r="I29" s="309"/>
      <c r="J29" s="309"/>
      <c r="K29" s="309"/>
      <c r="L29" s="309"/>
      <c r="M29" s="309"/>
      <c r="N29" s="309"/>
      <c r="O29" s="321"/>
    </row>
    <row r="30" spans="1:19" ht="33.75" customHeight="1">
      <c r="B30" s="207">
        <f>B29/4.8</f>
        <v>1144.7916666666667</v>
      </c>
      <c r="C30" s="199">
        <f t="shared" ref="C30" si="37">C29/4.8</f>
        <v>1563.5416666666667</v>
      </c>
      <c r="D30" s="199">
        <f t="shared" ref="D30" si="38">D29/4.8</f>
        <v>1978.125</v>
      </c>
      <c r="E30" s="199">
        <f t="shared" ref="E30" si="39">E29/4.8</f>
        <v>2689.5833333333335</v>
      </c>
      <c r="F30" s="309" t="s">
        <v>171</v>
      </c>
      <c r="G30" s="309"/>
      <c r="H30" s="309"/>
      <c r="I30" s="309"/>
      <c r="J30" s="309"/>
      <c r="K30" s="309"/>
      <c r="L30" s="309"/>
      <c r="M30" s="309"/>
      <c r="N30" s="309"/>
      <c r="O30" s="321"/>
    </row>
    <row r="31" spans="1:19" ht="33.75" customHeight="1">
      <c r="A31" s="147"/>
      <c r="B31" s="210">
        <f>B30*0.007</f>
        <v>8.0135416666666668</v>
      </c>
      <c r="C31" s="210">
        <f t="shared" ref="C31:E31" si="40">C30*0.007</f>
        <v>10.944791666666667</v>
      </c>
      <c r="D31" s="210">
        <f t="shared" si="40"/>
        <v>13.846875000000001</v>
      </c>
      <c r="E31" s="210">
        <f t="shared" si="40"/>
        <v>18.827083333333334</v>
      </c>
      <c r="F31" s="322" t="s">
        <v>181</v>
      </c>
      <c r="G31" s="322"/>
      <c r="H31" s="322"/>
      <c r="I31" s="322"/>
      <c r="J31" s="322"/>
      <c r="K31" s="322"/>
      <c r="L31" s="322"/>
      <c r="M31" s="322"/>
      <c r="N31" s="322"/>
      <c r="O31" s="323"/>
    </row>
    <row r="32" spans="1:19" ht="33.75" customHeight="1">
      <c r="B32" s="152">
        <f>SUM(B23,B27,B31)</f>
        <v>112.85693009641875</v>
      </c>
      <c r="C32" s="151">
        <f t="shared" ref="C32:E32" si="41">SUM(C23,C27,C31)</f>
        <v>110.12619662534436</v>
      </c>
      <c r="D32" s="151">
        <f t="shared" si="41"/>
        <v>105.02347623966942</v>
      </c>
      <c r="E32" s="151">
        <f t="shared" si="41"/>
        <v>105.21933539944904</v>
      </c>
      <c r="F32" s="324" t="s">
        <v>182</v>
      </c>
      <c r="G32" s="324"/>
      <c r="H32" s="324"/>
      <c r="I32" s="324"/>
      <c r="J32" s="324"/>
      <c r="K32" s="324"/>
      <c r="L32" s="324"/>
      <c r="M32" s="324"/>
      <c r="N32" s="324"/>
      <c r="O32" s="325"/>
    </row>
    <row r="33" spans="1:21" ht="24.75" customHeight="1" thickBot="1">
      <c r="B33" s="211">
        <f>B32-B18</f>
        <v>-0.77752238292008258</v>
      </c>
      <c r="C33" s="212">
        <f t="shared" ref="C33:E33" si="42">C32-C18</f>
        <v>-0.49305268595041696</v>
      </c>
      <c r="D33" s="212">
        <f t="shared" si="42"/>
        <v>-4.9192407024793283</v>
      </c>
      <c r="E33" s="212">
        <f t="shared" si="42"/>
        <v>-9.2991563360881599</v>
      </c>
      <c r="F33" s="326" t="s">
        <v>183</v>
      </c>
      <c r="G33" s="326"/>
      <c r="H33" s="326"/>
      <c r="I33" s="326"/>
      <c r="J33" s="326"/>
      <c r="K33" s="326"/>
      <c r="L33" s="326"/>
      <c r="M33" s="326"/>
      <c r="N33" s="326"/>
      <c r="O33" s="327"/>
    </row>
    <row r="34" spans="1:21" ht="15.75" thickBot="1"/>
    <row r="35" spans="1:21" ht="39.75" customHeight="1" thickBot="1">
      <c r="B35" s="291" t="s">
        <v>154</v>
      </c>
      <c r="C35" s="292"/>
      <c r="D35" s="292"/>
      <c r="E35" s="292"/>
      <c r="F35" s="292"/>
      <c r="G35" s="292"/>
      <c r="H35" s="292"/>
      <c r="I35" s="292"/>
      <c r="J35" s="292"/>
      <c r="K35" s="292"/>
      <c r="L35" s="292"/>
      <c r="M35" s="292"/>
      <c r="N35" s="292"/>
      <c r="O35" s="292"/>
      <c r="P35" s="292"/>
      <c r="Q35" s="292"/>
      <c r="R35" s="292"/>
      <c r="S35" s="293"/>
      <c r="T35" s="58"/>
      <c r="U35" s="58"/>
    </row>
    <row r="36" spans="1:21" ht="33.75" customHeight="1" thickBot="1">
      <c r="B36" s="144" t="s">
        <v>97</v>
      </c>
      <c r="C36" s="145">
        <v>2025</v>
      </c>
      <c r="D36" s="145">
        <v>2035</v>
      </c>
      <c r="E36" s="145">
        <v>2050</v>
      </c>
      <c r="F36" s="58"/>
      <c r="G36" s="58"/>
      <c r="H36" s="58"/>
      <c r="I36" s="58"/>
      <c r="J36" s="58"/>
      <c r="K36" s="58"/>
      <c r="L36" s="58"/>
      <c r="M36" s="58"/>
      <c r="N36" s="58"/>
      <c r="O36" s="58"/>
      <c r="P36" s="58"/>
      <c r="Q36" s="58"/>
      <c r="R36" s="58"/>
      <c r="S36" s="58"/>
      <c r="T36" s="58"/>
      <c r="U36" s="58"/>
    </row>
    <row r="37" spans="1:21" ht="34.5" customHeight="1">
      <c r="B37" s="205">
        <f>('A. Data- LEAP Windham'!C9+'A. Data- LEAP Windham'!C10)*1000000000</f>
        <v>17000000000</v>
      </c>
      <c r="C37" s="206">
        <f>('A. Data- LEAP Windham'!D9+'A. Data- LEAP Windham'!D10)*1000000000</f>
        <v>92000000000</v>
      </c>
      <c r="D37" s="206">
        <f>('A. Data- LEAP Windham'!E9+'A. Data- LEAP Windham'!E10)*1000000000</f>
        <v>173000000000</v>
      </c>
      <c r="E37" s="206">
        <f>('A. Data- LEAP Windham'!F9+'A. Data- LEAP Windham'!F10)*1000000000</f>
        <v>289000000000</v>
      </c>
      <c r="F37" s="328" t="s">
        <v>186</v>
      </c>
      <c r="G37" s="329"/>
      <c r="H37" s="329"/>
      <c r="I37" s="329"/>
      <c r="J37" s="329"/>
      <c r="K37" s="329"/>
      <c r="L37" s="329"/>
      <c r="M37" s="329"/>
      <c r="N37" s="329"/>
      <c r="O37" s="330"/>
      <c r="P37" s="58"/>
      <c r="Q37" s="58"/>
      <c r="R37" s="58"/>
      <c r="S37" s="58"/>
      <c r="T37" s="58"/>
      <c r="U37" s="58"/>
    </row>
    <row r="38" spans="1:21" ht="34.5" customHeight="1">
      <c r="B38" s="207">
        <f>B37/3412</f>
        <v>4982415.0058616651</v>
      </c>
      <c r="C38" s="202">
        <f t="shared" ref="C38:E38" si="43">C37/3412</f>
        <v>26963657.678780776</v>
      </c>
      <c r="D38" s="202">
        <f t="shared" si="43"/>
        <v>50703399.76553341</v>
      </c>
      <c r="E38" s="202">
        <f t="shared" si="43"/>
        <v>84701055.099648297</v>
      </c>
      <c r="F38" s="308" t="s">
        <v>187</v>
      </c>
      <c r="G38" s="309"/>
      <c r="H38" s="309"/>
      <c r="I38" s="309"/>
      <c r="J38" s="309"/>
      <c r="K38" s="309"/>
      <c r="L38" s="309"/>
      <c r="M38" s="309"/>
      <c r="N38" s="309"/>
      <c r="O38" s="321"/>
    </row>
    <row r="39" spans="1:21" ht="34.5" customHeight="1">
      <c r="B39" s="207">
        <f>B38/7500</f>
        <v>664.3220007815554</v>
      </c>
      <c r="C39" s="202">
        <f t="shared" ref="C39:E39" si="44">C38/7500</f>
        <v>3595.1543571707703</v>
      </c>
      <c r="D39" s="202">
        <f t="shared" si="44"/>
        <v>6760.4533020711215</v>
      </c>
      <c r="E39" s="202">
        <f t="shared" si="44"/>
        <v>11293.474013286439</v>
      </c>
      <c r="F39" s="308" t="s">
        <v>189</v>
      </c>
      <c r="G39" s="308"/>
      <c r="H39" s="308"/>
      <c r="I39" s="308"/>
      <c r="J39" s="308"/>
      <c r="K39" s="308"/>
      <c r="L39" s="308"/>
      <c r="M39" s="308"/>
      <c r="N39" s="308"/>
      <c r="O39" s="319"/>
      <c r="P39" s="58" t="s">
        <v>188</v>
      </c>
    </row>
    <row r="40" spans="1:21" ht="34.5" customHeight="1">
      <c r="A40" s="147"/>
      <c r="B40" s="160">
        <f>B39*0.0078</f>
        <v>5.1817116060961315</v>
      </c>
      <c r="C40" s="160">
        <f t="shared" ref="C40" si="45">C39*0.0078</f>
        <v>28.042203985932005</v>
      </c>
      <c r="D40" s="160">
        <f t="shared" ref="D40" si="46">D39*0.0078</f>
        <v>52.731535756154742</v>
      </c>
      <c r="E40" s="160">
        <f t="shared" ref="E40" si="47">E39*0.0078</f>
        <v>88.089097303634219</v>
      </c>
      <c r="F40" s="308" t="s">
        <v>190</v>
      </c>
      <c r="G40" s="308"/>
      <c r="H40" s="308"/>
      <c r="I40" s="308"/>
      <c r="J40" s="308"/>
      <c r="K40" s="308"/>
      <c r="L40" s="308"/>
      <c r="M40" s="308"/>
      <c r="N40" s="308"/>
      <c r="O40" s="319"/>
    </row>
    <row r="41" spans="1:21" ht="34.5" customHeight="1">
      <c r="B41" s="208">
        <f>('A. Data- LEAP Windham'!I9+'A. Data- LEAP Windham'!I10)*1000000000</f>
        <v>21000000000</v>
      </c>
      <c r="C41" s="200">
        <f>('A. Data- LEAP Windham'!J9+'A. Data- LEAP Windham'!J10)*1000000000</f>
        <v>112000000000</v>
      </c>
      <c r="D41" s="200">
        <f>('A. Data- LEAP Windham'!K9+'A. Data- LEAP Windham'!K10)*1000000000</f>
        <v>221000000000</v>
      </c>
      <c r="E41" s="200">
        <f>('A. Data- LEAP Windham'!L9+'A. Data- LEAP Windham'!L10)*1000000000</f>
        <v>312000000000</v>
      </c>
      <c r="F41" s="305" t="s">
        <v>191</v>
      </c>
      <c r="G41" s="306"/>
      <c r="H41" s="306"/>
      <c r="I41" s="306"/>
      <c r="J41" s="306"/>
      <c r="K41" s="306"/>
      <c r="L41" s="306"/>
      <c r="M41" s="306"/>
      <c r="N41" s="306"/>
      <c r="O41" s="320"/>
    </row>
    <row r="42" spans="1:21" ht="34.5" customHeight="1">
      <c r="B42" s="207">
        <f>B41/3412</f>
        <v>6154747.9484173506</v>
      </c>
      <c r="C42" s="202">
        <f t="shared" ref="C42:E42" si="48">C41/3412</f>
        <v>32825322.391559202</v>
      </c>
      <c r="D42" s="202">
        <f t="shared" si="48"/>
        <v>64771395.07620164</v>
      </c>
      <c r="E42" s="202">
        <f t="shared" si="48"/>
        <v>91441969.519343495</v>
      </c>
      <c r="F42" s="308" t="s">
        <v>187</v>
      </c>
      <c r="G42" s="309"/>
      <c r="H42" s="309"/>
      <c r="I42" s="309"/>
      <c r="J42" s="309"/>
      <c r="K42" s="309"/>
      <c r="L42" s="309"/>
      <c r="M42" s="309"/>
      <c r="N42" s="309"/>
      <c r="O42" s="321"/>
    </row>
    <row r="43" spans="1:21" ht="34.5" customHeight="1">
      <c r="B43" s="207">
        <f>B42/7500</f>
        <v>820.63305978898006</v>
      </c>
      <c r="C43" s="202">
        <f t="shared" ref="C43:E43" si="49">C42/7500</f>
        <v>4376.7096522078937</v>
      </c>
      <c r="D43" s="202">
        <f t="shared" si="49"/>
        <v>8636.1860101602178</v>
      </c>
      <c r="E43" s="202">
        <f t="shared" si="49"/>
        <v>12192.262602579132</v>
      </c>
      <c r="F43" s="308" t="s">
        <v>189</v>
      </c>
      <c r="G43" s="308"/>
      <c r="H43" s="308"/>
      <c r="I43" s="308"/>
      <c r="J43" s="308"/>
      <c r="K43" s="308"/>
      <c r="L43" s="308"/>
      <c r="M43" s="308"/>
      <c r="N43" s="308"/>
      <c r="O43" s="319"/>
    </row>
    <row r="44" spans="1:21" ht="34.5" customHeight="1" thickBot="1">
      <c r="A44" s="147"/>
      <c r="B44" s="160">
        <f>B43*0.0078</f>
        <v>6.4009378663540444</v>
      </c>
      <c r="C44" s="160">
        <f t="shared" ref="C44" si="50">C43*0.0078</f>
        <v>34.138335287221572</v>
      </c>
      <c r="D44" s="160">
        <f t="shared" ref="D44" si="51">D43*0.0078</f>
        <v>67.3622508792497</v>
      </c>
      <c r="E44" s="160">
        <f t="shared" ref="E44" si="52">E43*0.0078</f>
        <v>95.099648300117224</v>
      </c>
      <c r="F44" s="317" t="s">
        <v>192</v>
      </c>
      <c r="G44" s="317"/>
      <c r="H44" s="317"/>
      <c r="I44" s="317"/>
      <c r="J44" s="317"/>
      <c r="K44" s="317"/>
      <c r="L44" s="317"/>
      <c r="M44" s="317"/>
      <c r="N44" s="317"/>
      <c r="O44" s="318"/>
    </row>
    <row r="45" spans="1:21" ht="25.5" customHeight="1" thickBot="1"/>
    <row r="46" spans="1:21" ht="36.75" customHeight="1" thickBot="1">
      <c r="B46" s="291" t="s">
        <v>194</v>
      </c>
      <c r="C46" s="292"/>
      <c r="D46" s="292"/>
      <c r="E46" s="292"/>
      <c r="F46" s="292"/>
      <c r="G46" s="292"/>
      <c r="H46" s="292"/>
      <c r="I46" s="292"/>
      <c r="J46" s="292"/>
      <c r="K46" s="292"/>
      <c r="L46" s="292"/>
      <c r="M46" s="292"/>
      <c r="N46" s="292"/>
      <c r="O46" s="292"/>
      <c r="P46" s="292"/>
      <c r="Q46" s="292"/>
      <c r="R46" s="292"/>
      <c r="S46" s="293"/>
    </row>
    <row r="47" spans="1:21" ht="45" customHeight="1">
      <c r="B47" s="144" t="s">
        <v>97</v>
      </c>
      <c r="C47" s="145">
        <v>2025</v>
      </c>
      <c r="D47" s="145">
        <v>2035</v>
      </c>
      <c r="E47" s="145">
        <v>2050</v>
      </c>
      <c r="F47" s="58"/>
      <c r="G47" s="58"/>
      <c r="H47" s="58"/>
      <c r="I47" s="58"/>
      <c r="J47" s="58"/>
      <c r="K47" s="58"/>
      <c r="L47" s="58"/>
      <c r="M47" s="58"/>
      <c r="N47" s="58"/>
      <c r="O47" s="58"/>
      <c r="P47" s="58"/>
      <c r="Q47" s="58"/>
      <c r="R47" s="58"/>
      <c r="S47" s="58"/>
    </row>
    <row r="48" spans="1:21" ht="34.5" customHeight="1">
      <c r="B48" s="200">
        <f>'A. Data- LEAP Windham'!I22*1000000000</f>
        <v>2000000000</v>
      </c>
      <c r="C48" s="201">
        <f>'A. Data- LEAP Windham'!J22*1000000000</f>
        <v>26000000000</v>
      </c>
      <c r="D48" s="201">
        <f>'A. Data- LEAP Windham'!K22*1000000000</f>
        <v>174000000000</v>
      </c>
      <c r="E48" s="201">
        <f>'A. Data- LEAP Windham'!L22*1000000000</f>
        <v>349000000000</v>
      </c>
      <c r="F48" s="305" t="s">
        <v>195</v>
      </c>
      <c r="G48" s="306"/>
      <c r="H48" s="306"/>
      <c r="I48" s="306"/>
      <c r="J48" s="306"/>
      <c r="K48" s="306"/>
      <c r="L48" s="306"/>
      <c r="M48" s="306"/>
      <c r="N48" s="306"/>
      <c r="O48" s="307"/>
      <c r="P48" s="58"/>
      <c r="Q48" s="58"/>
      <c r="R48" s="58"/>
      <c r="S48" s="58"/>
    </row>
    <row r="49" spans="1:19" ht="34.5" customHeight="1">
      <c r="B49" s="202">
        <f>B48/3412</f>
        <v>586166.47127784288</v>
      </c>
      <c r="C49" s="199">
        <f t="shared" ref="C49" si="53">C48/3412</f>
        <v>7620164.1266119583</v>
      </c>
      <c r="D49" s="199">
        <f t="shared" ref="D49" si="54">D48/3412</f>
        <v>50996483.001172334</v>
      </c>
      <c r="E49" s="199">
        <f t="shared" ref="E49" si="55">E48/3412</f>
        <v>102286049.23798358</v>
      </c>
      <c r="F49" s="308" t="s">
        <v>200</v>
      </c>
      <c r="G49" s="309"/>
      <c r="H49" s="309"/>
      <c r="I49" s="309"/>
      <c r="J49" s="309"/>
      <c r="K49" s="309"/>
      <c r="L49" s="309"/>
      <c r="M49" s="309"/>
      <c r="N49" s="309"/>
      <c r="O49" s="310"/>
      <c r="P49" s="58"/>
      <c r="Q49" s="58"/>
      <c r="R49" s="58"/>
      <c r="S49" s="58"/>
    </row>
    <row r="50" spans="1:19" ht="34.5" customHeight="1">
      <c r="B50" s="202">
        <v>4</v>
      </c>
      <c r="C50" s="199">
        <v>4.5</v>
      </c>
      <c r="D50" s="199">
        <v>4.75</v>
      </c>
      <c r="E50" s="199">
        <v>5</v>
      </c>
      <c r="F50" s="308" t="s">
        <v>196</v>
      </c>
      <c r="G50" s="308"/>
      <c r="H50" s="308"/>
      <c r="I50" s="308"/>
      <c r="J50" s="308"/>
      <c r="K50" s="308"/>
      <c r="L50" s="308"/>
      <c r="M50" s="308"/>
      <c r="N50" s="308"/>
      <c r="O50" s="311"/>
      <c r="P50" s="58"/>
      <c r="Q50" s="58"/>
      <c r="R50" s="58"/>
      <c r="S50" s="58"/>
    </row>
    <row r="51" spans="1:19" ht="37.5" customHeight="1">
      <c r="B51" s="202">
        <f>B49*B50</f>
        <v>2344665.8851113715</v>
      </c>
      <c r="C51" s="199">
        <f t="shared" ref="C51:E51" si="56">C49*C50</f>
        <v>34290738.569753811</v>
      </c>
      <c r="D51" s="199">
        <f t="shared" si="56"/>
        <v>242233294.25556859</v>
      </c>
      <c r="E51" s="199">
        <f t="shared" si="56"/>
        <v>511430246.18991792</v>
      </c>
      <c r="F51" s="308" t="s">
        <v>197</v>
      </c>
      <c r="G51" s="308"/>
      <c r="H51" s="308"/>
      <c r="I51" s="308"/>
      <c r="J51" s="308"/>
      <c r="K51" s="308"/>
      <c r="L51" s="308"/>
      <c r="M51" s="308"/>
      <c r="N51" s="308"/>
      <c r="O51" s="311"/>
      <c r="P51" s="58"/>
      <c r="Q51" s="58"/>
      <c r="R51" s="58"/>
      <c r="S51" s="58"/>
    </row>
    <row r="52" spans="1:19" ht="36.75" customHeight="1">
      <c r="B52" s="216">
        <f>B51/11356</f>
        <v>206.46934528983547</v>
      </c>
      <c r="C52" s="215">
        <f t="shared" ref="C52:E52" si="57">C51/11356</f>
        <v>3019.6141748638438</v>
      </c>
      <c r="D52" s="215">
        <f t="shared" si="57"/>
        <v>21330.864235256129</v>
      </c>
      <c r="E52" s="215">
        <f t="shared" si="57"/>
        <v>45036.125941345359</v>
      </c>
      <c r="F52" s="312" t="s">
        <v>198</v>
      </c>
      <c r="G52" s="312"/>
      <c r="H52" s="312"/>
      <c r="I52" s="312"/>
      <c r="J52" s="312"/>
      <c r="K52" s="312"/>
      <c r="L52" s="312"/>
      <c r="M52" s="312"/>
      <c r="N52" s="312"/>
      <c r="O52" s="313"/>
    </row>
    <row r="53" spans="1:19" ht="40.5" customHeight="1">
      <c r="A53" s="147"/>
      <c r="B53" s="160">
        <f>B52*0.0078</f>
        <v>1.6104608932607167</v>
      </c>
      <c r="C53" s="160">
        <f t="shared" ref="C53" si="58">C52*0.0078</f>
        <v>23.552990563937982</v>
      </c>
      <c r="D53" s="160">
        <f t="shared" ref="D53" si="59">D52*0.0078</f>
        <v>166.38074103499781</v>
      </c>
      <c r="E53" s="160">
        <f t="shared" ref="E53" si="60">E52*0.0078</f>
        <v>351.28178234249378</v>
      </c>
      <c r="F53" s="314" t="s">
        <v>199</v>
      </c>
      <c r="G53" s="314"/>
      <c r="H53" s="314"/>
      <c r="I53" s="314"/>
      <c r="J53" s="314"/>
      <c r="K53" s="314"/>
      <c r="L53" s="314"/>
      <c r="M53" s="314"/>
      <c r="N53" s="314"/>
      <c r="O53" s="315"/>
    </row>
    <row r="54" spans="1:19" ht="15.75" thickBot="1">
      <c r="F54" s="316"/>
      <c r="G54" s="316"/>
      <c r="H54" s="316"/>
      <c r="I54" s="316"/>
      <c r="J54" s="316"/>
      <c r="K54" s="316"/>
      <c r="L54" s="316"/>
      <c r="M54" s="316"/>
      <c r="N54" s="316"/>
      <c r="O54" s="316"/>
    </row>
    <row r="55" spans="1:19" ht="34.5" customHeight="1" thickBot="1">
      <c r="B55" s="291" t="s">
        <v>202</v>
      </c>
      <c r="C55" s="292"/>
      <c r="D55" s="292"/>
      <c r="E55" s="292"/>
      <c r="F55" s="292"/>
      <c r="G55" s="292"/>
      <c r="H55" s="292"/>
      <c r="I55" s="292"/>
      <c r="J55" s="292"/>
      <c r="K55" s="292"/>
      <c r="L55" s="292"/>
      <c r="M55" s="292"/>
      <c r="N55" s="292"/>
      <c r="O55" s="292"/>
      <c r="P55" s="292"/>
      <c r="Q55" s="292"/>
      <c r="R55" s="292"/>
      <c r="S55" s="293"/>
    </row>
    <row r="56" spans="1:19" ht="40.5" customHeight="1">
      <c r="B56" s="144" t="s">
        <v>97</v>
      </c>
      <c r="C56" s="145">
        <v>2025</v>
      </c>
      <c r="D56" s="145">
        <v>2035</v>
      </c>
      <c r="E56" s="145">
        <v>2050</v>
      </c>
      <c r="F56" s="58"/>
      <c r="G56" s="58"/>
      <c r="H56" s="58"/>
      <c r="I56" s="58"/>
      <c r="J56" s="58"/>
      <c r="K56" s="58"/>
      <c r="L56" s="58"/>
      <c r="M56" s="58"/>
      <c r="N56" s="58"/>
      <c r="O56" s="58"/>
      <c r="P56" s="58"/>
      <c r="Q56" s="58"/>
      <c r="R56" s="58"/>
      <c r="S56" s="58"/>
    </row>
    <row r="57" spans="1:19" ht="33" customHeight="1">
      <c r="B57" s="200">
        <f>'A. Data- LEAP Windham'!U20*1000000000</f>
        <v>39000000000</v>
      </c>
      <c r="C57" s="201">
        <f>'A. Data- LEAP Windham'!V20*1000000000</f>
        <v>191000000000</v>
      </c>
      <c r="D57" s="201">
        <f>'A. Data- LEAP Windham'!W20*1000000000</f>
        <v>337000000000</v>
      </c>
      <c r="E57" s="201">
        <f>'A. Data- LEAP Windham'!X20*1000000000</f>
        <v>554000000000</v>
      </c>
      <c r="F57" s="305" t="s">
        <v>195</v>
      </c>
      <c r="G57" s="306"/>
      <c r="H57" s="306"/>
      <c r="I57" s="306"/>
      <c r="J57" s="306"/>
      <c r="K57" s="306"/>
      <c r="L57" s="306"/>
      <c r="M57" s="306"/>
      <c r="N57" s="306"/>
      <c r="O57" s="307"/>
      <c r="P57" s="58"/>
      <c r="Q57" s="58"/>
      <c r="R57" s="58"/>
      <c r="S57" s="58"/>
    </row>
    <row r="58" spans="1:19" ht="33" customHeight="1">
      <c r="B58" s="202">
        <f>B57/127595</f>
        <v>305654.61029037187</v>
      </c>
      <c r="C58" s="199">
        <f t="shared" ref="C58:E58" si="61">C57/127595</f>
        <v>1496923.860652847</v>
      </c>
      <c r="D58" s="199">
        <f t="shared" si="61"/>
        <v>2641169.324816803</v>
      </c>
      <c r="E58" s="199">
        <f t="shared" si="61"/>
        <v>4341862.9256632309</v>
      </c>
      <c r="F58" s="308" t="s">
        <v>203</v>
      </c>
      <c r="G58" s="309"/>
      <c r="H58" s="309"/>
      <c r="I58" s="309"/>
      <c r="J58" s="309"/>
      <c r="K58" s="309"/>
      <c r="L58" s="309"/>
      <c r="M58" s="309"/>
      <c r="N58" s="309"/>
      <c r="O58" s="310"/>
      <c r="P58" s="58"/>
      <c r="Q58" s="58"/>
      <c r="R58" s="58"/>
      <c r="S58" s="58"/>
    </row>
    <row r="59" spans="1:19" ht="33" customHeight="1">
      <c r="B59" s="202">
        <v>32</v>
      </c>
      <c r="C59" s="199">
        <v>35</v>
      </c>
      <c r="D59" s="199">
        <v>38</v>
      </c>
      <c r="E59" s="199">
        <v>40</v>
      </c>
      <c r="F59" s="308" t="s">
        <v>204</v>
      </c>
      <c r="G59" s="308"/>
      <c r="H59" s="308"/>
      <c r="I59" s="308"/>
      <c r="J59" s="308"/>
      <c r="K59" s="308"/>
      <c r="L59" s="308"/>
      <c r="M59" s="308"/>
      <c r="N59" s="308"/>
      <c r="O59" s="311"/>
      <c r="P59" s="58"/>
      <c r="Q59" s="58"/>
      <c r="R59" s="58"/>
      <c r="S59" s="58"/>
    </row>
    <row r="60" spans="1:19" ht="33" customHeight="1">
      <c r="B60" s="202">
        <f>B58*B59</f>
        <v>9780947.5292918999</v>
      </c>
      <c r="C60" s="199">
        <f t="shared" ref="C60" si="62">C58*C59</f>
        <v>52392335.122849643</v>
      </c>
      <c r="D60" s="199">
        <f t="shared" ref="D60" si="63">D58*D59</f>
        <v>100364434.34303851</v>
      </c>
      <c r="E60" s="199">
        <f t="shared" ref="E60" si="64">E58*E59</f>
        <v>173674517.02652925</v>
      </c>
      <c r="F60" s="308" t="s">
        <v>205</v>
      </c>
      <c r="G60" s="308"/>
      <c r="H60" s="308"/>
      <c r="I60" s="308"/>
      <c r="J60" s="308"/>
      <c r="K60" s="308"/>
      <c r="L60" s="308"/>
      <c r="M60" s="308"/>
      <c r="N60" s="308"/>
      <c r="O60" s="311"/>
      <c r="P60" s="58"/>
      <c r="Q60" s="58"/>
      <c r="R60" s="58"/>
      <c r="S60" s="58"/>
    </row>
    <row r="61" spans="1:19" ht="33" customHeight="1">
      <c r="B61" s="216">
        <f>B60/11356</f>
        <v>861.30217764106203</v>
      </c>
      <c r="C61" s="215">
        <f t="shared" ref="C61" si="65">C60/11356</f>
        <v>4613.6258473802081</v>
      </c>
      <c r="D61" s="215">
        <f t="shared" ref="D61" si="66">D60/11356</f>
        <v>8838.0093644803201</v>
      </c>
      <c r="E61" s="215">
        <f t="shared" ref="E61" si="67">E60/11356</f>
        <v>15293.634820934241</v>
      </c>
      <c r="F61" s="312" t="s">
        <v>206</v>
      </c>
      <c r="G61" s="312"/>
      <c r="H61" s="312"/>
      <c r="I61" s="312"/>
      <c r="J61" s="312"/>
      <c r="K61" s="312"/>
      <c r="L61" s="312"/>
      <c r="M61" s="312"/>
      <c r="N61" s="312"/>
      <c r="O61" s="313"/>
      <c r="P61" s="58"/>
      <c r="Q61" s="58"/>
      <c r="R61" s="58"/>
      <c r="S61" s="58"/>
    </row>
    <row r="62" spans="1:19" ht="36.75" customHeight="1">
      <c r="A62" s="147"/>
      <c r="B62" s="160">
        <f>B61*0.0078</f>
        <v>6.7181569856002836</v>
      </c>
      <c r="C62" s="160">
        <f t="shared" ref="C62" si="68">C61*0.0078</f>
        <v>35.986281609565623</v>
      </c>
      <c r="D62" s="160">
        <f t="shared" ref="D62" si="69">D61*0.0078</f>
        <v>68.936473042946488</v>
      </c>
      <c r="E62" s="160">
        <f t="shared" ref="E62" si="70">E61*0.0078</f>
        <v>119.29035160328708</v>
      </c>
      <c r="F62" s="314" t="s">
        <v>201</v>
      </c>
      <c r="G62" s="314"/>
      <c r="H62" s="314"/>
      <c r="I62" s="314"/>
      <c r="J62" s="314"/>
      <c r="K62" s="314"/>
      <c r="L62" s="314"/>
      <c r="M62" s="314"/>
      <c r="N62" s="314"/>
      <c r="O62" s="315"/>
      <c r="P62" s="58"/>
      <c r="Q62" s="58"/>
      <c r="R62" s="58"/>
      <c r="S62" s="58"/>
    </row>
  </sheetData>
  <mergeCells count="59">
    <mergeCell ref="B2:S2"/>
    <mergeCell ref="B4:S4"/>
    <mergeCell ref="F6:O6"/>
    <mergeCell ref="F8:O8"/>
    <mergeCell ref="F23:O23"/>
    <mergeCell ref="F24:O24"/>
    <mergeCell ref="F9:O9"/>
    <mergeCell ref="F10:O10"/>
    <mergeCell ref="F11:O11"/>
    <mergeCell ref="F12:O12"/>
    <mergeCell ref="F14:O14"/>
    <mergeCell ref="F16:O16"/>
    <mergeCell ref="F17:O17"/>
    <mergeCell ref="F18:O18"/>
    <mergeCell ref="F20:O20"/>
    <mergeCell ref="F15:O15"/>
    <mergeCell ref="F21:O21"/>
    <mergeCell ref="F22:O22"/>
    <mergeCell ref="Q8:U8"/>
    <mergeCell ref="Q9:U10"/>
    <mergeCell ref="Q11:U12"/>
    <mergeCell ref="V9:AB10"/>
    <mergeCell ref="Q13:U13"/>
    <mergeCell ref="Q14:U14"/>
    <mergeCell ref="F7:O7"/>
    <mergeCell ref="F13:O13"/>
    <mergeCell ref="F38:O38"/>
    <mergeCell ref="F25:O25"/>
    <mergeCell ref="F26:O26"/>
    <mergeCell ref="F27:O27"/>
    <mergeCell ref="F28:O28"/>
    <mergeCell ref="F29:O29"/>
    <mergeCell ref="F30:O30"/>
    <mergeCell ref="F31:O31"/>
    <mergeCell ref="F32:O32"/>
    <mergeCell ref="F33:O33"/>
    <mergeCell ref="B35:S35"/>
    <mergeCell ref="F37:O37"/>
    <mergeCell ref="F44:O44"/>
    <mergeCell ref="B46:S46"/>
    <mergeCell ref="F39:O39"/>
    <mergeCell ref="F40:O40"/>
    <mergeCell ref="F41:O41"/>
    <mergeCell ref="F42:O42"/>
    <mergeCell ref="F43:O43"/>
    <mergeCell ref="F62:O62"/>
    <mergeCell ref="F48:O48"/>
    <mergeCell ref="F49:O49"/>
    <mergeCell ref="F50:O50"/>
    <mergeCell ref="F51:O51"/>
    <mergeCell ref="F52:O52"/>
    <mergeCell ref="F53:O53"/>
    <mergeCell ref="F54:O54"/>
    <mergeCell ref="B55:S55"/>
    <mergeCell ref="F57:O57"/>
    <mergeCell ref="F58:O58"/>
    <mergeCell ref="F59:O59"/>
    <mergeCell ref="F60:O60"/>
    <mergeCell ref="F61:O61"/>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dimension ref="B1:U15"/>
  <sheetViews>
    <sheetView zoomScale="80" zoomScaleNormal="80" workbookViewId="0">
      <selection activeCell="Z20" sqref="Z20"/>
    </sheetView>
  </sheetViews>
  <sheetFormatPr defaultRowHeight="15"/>
  <cols>
    <col min="1" max="1" width="3.42578125" customWidth="1"/>
  </cols>
  <sheetData>
    <row r="1" spans="2:21" ht="15.75" thickBot="1"/>
    <row r="2" spans="2:21" ht="123.75" customHeight="1" thickBot="1">
      <c r="B2" s="298" t="s">
        <v>213</v>
      </c>
      <c r="C2" s="299"/>
      <c r="D2" s="299"/>
      <c r="E2" s="299"/>
      <c r="F2" s="299"/>
      <c r="G2" s="299"/>
      <c r="H2" s="299"/>
      <c r="I2" s="299"/>
      <c r="J2" s="299"/>
      <c r="K2" s="299"/>
      <c r="L2" s="299"/>
      <c r="M2" s="299"/>
      <c r="N2" s="299"/>
      <c r="O2" s="299"/>
      <c r="P2" s="299"/>
      <c r="Q2" s="299"/>
      <c r="R2" s="299"/>
      <c r="S2" s="300"/>
      <c r="T2" s="58"/>
      <c r="U2" s="58"/>
    </row>
    <row r="3" spans="2:21" ht="15.75" thickBot="1">
      <c r="B3" s="58"/>
      <c r="C3" s="58"/>
      <c r="D3" s="58"/>
      <c r="E3" s="58"/>
      <c r="F3" s="58"/>
      <c r="G3" s="58"/>
      <c r="H3" s="58"/>
      <c r="I3" s="58"/>
      <c r="J3" s="58"/>
      <c r="K3" s="58"/>
      <c r="L3" s="58"/>
      <c r="M3" s="58"/>
      <c r="N3" s="58"/>
      <c r="O3" s="58"/>
      <c r="P3" s="58"/>
      <c r="Q3" s="58"/>
      <c r="R3" s="58"/>
      <c r="S3" s="58"/>
      <c r="T3" s="58"/>
      <c r="U3" s="58"/>
    </row>
    <row r="4" spans="2:21" ht="52.5" customHeight="1" thickBot="1">
      <c r="B4" s="291" t="s">
        <v>214</v>
      </c>
      <c r="C4" s="292"/>
      <c r="D4" s="292"/>
      <c r="E4" s="292"/>
      <c r="F4" s="292"/>
      <c r="G4" s="292"/>
      <c r="H4" s="292"/>
      <c r="I4" s="292"/>
      <c r="J4" s="292"/>
      <c r="K4" s="292"/>
      <c r="L4" s="292"/>
      <c r="M4" s="292"/>
      <c r="N4" s="292"/>
      <c r="O4" s="292"/>
      <c r="P4" s="292"/>
      <c r="Q4" s="292"/>
      <c r="R4" s="292"/>
      <c r="S4" s="293"/>
      <c r="T4" s="58"/>
      <c r="U4" s="58"/>
    </row>
    <row r="5" spans="2:21" ht="45">
      <c r="B5" s="144" t="s">
        <v>97</v>
      </c>
      <c r="C5" s="145">
        <v>2025</v>
      </c>
      <c r="D5" s="145">
        <v>2035</v>
      </c>
      <c r="E5" s="145">
        <v>2050</v>
      </c>
      <c r="F5" s="58"/>
      <c r="G5" s="58"/>
      <c r="H5" s="58"/>
      <c r="I5" s="58"/>
      <c r="J5" s="58"/>
      <c r="K5" s="58"/>
      <c r="L5" s="58"/>
      <c r="M5" s="58"/>
      <c r="N5" s="58"/>
      <c r="O5" s="58"/>
      <c r="P5" s="58"/>
      <c r="Q5" s="58"/>
      <c r="R5" s="58"/>
      <c r="S5" s="58"/>
      <c r="T5" s="58"/>
      <c r="U5" s="58"/>
    </row>
    <row r="6" spans="2:21" ht="47.25" customHeight="1">
      <c r="B6" s="200">
        <f>'A. Data- LEAP Windham'!I22+'A. Data- LEAP Windham'!I24+'A. Data- LEAP Windham'!U20</f>
        <v>47</v>
      </c>
      <c r="C6" s="201">
        <f>'A. Data- LEAP Windham'!J22+'A. Data- LEAP Windham'!J24+'A. Data- LEAP Windham'!V20</f>
        <v>245</v>
      </c>
      <c r="D6" s="201">
        <f>'A. Data- LEAP Windham'!K22+'A. Data- LEAP Windham'!K24+'A. Data- LEAP Windham'!W20</f>
        <v>555</v>
      </c>
      <c r="E6" s="201">
        <f>'A. Data- LEAP Windham'!L22+'A. Data- LEAP Windham'!L24+'A. Data- LEAP Windham'!X20</f>
        <v>968</v>
      </c>
      <c r="F6" s="305" t="s">
        <v>218</v>
      </c>
      <c r="G6" s="306"/>
      <c r="H6" s="306"/>
      <c r="I6" s="306"/>
      <c r="J6" s="306"/>
      <c r="K6" s="306"/>
      <c r="L6" s="306"/>
      <c r="M6" s="306"/>
      <c r="N6" s="306"/>
      <c r="O6" s="307"/>
      <c r="P6" s="58"/>
      <c r="Q6" s="58"/>
      <c r="R6" s="58"/>
      <c r="S6" s="58"/>
      <c r="T6" s="58"/>
      <c r="U6" s="58"/>
    </row>
    <row r="7" spans="2:21" ht="47.25" customHeight="1">
      <c r="B7" s="202">
        <f>SUM('A. Data- LEAP Windham'!I26,'A. Data- LEAP Windham'!U24)</f>
        <v>3074</v>
      </c>
      <c r="C7" s="199">
        <f>SUM('A. Data- LEAP Windham'!J26,'A. Data- LEAP Windham'!V24)</f>
        <v>2559</v>
      </c>
      <c r="D7" s="199">
        <f>SUM('A. Data- LEAP Windham'!K26,'A. Data- LEAP Windham'!W24)</f>
        <v>1779</v>
      </c>
      <c r="E7" s="199">
        <f>SUM('A. Data- LEAP Windham'!L26,'A. Data- LEAP Windham'!X24)</f>
        <v>1072</v>
      </c>
      <c r="F7" s="308" t="s">
        <v>215</v>
      </c>
      <c r="G7" s="309"/>
      <c r="H7" s="309"/>
      <c r="I7" s="309"/>
      <c r="J7" s="309"/>
      <c r="K7" s="309"/>
      <c r="L7" s="309"/>
      <c r="M7" s="309"/>
      <c r="N7" s="309"/>
      <c r="O7" s="310"/>
      <c r="P7" s="58"/>
    </row>
    <row r="8" spans="2:21" ht="47.25" customHeight="1">
      <c r="B8" s="238">
        <f>B6/B7</f>
        <v>1.5289525048796356E-2</v>
      </c>
      <c r="C8" s="239">
        <f t="shared" ref="C8:E8" si="0">C6/C7</f>
        <v>9.5740523642047673E-2</v>
      </c>
      <c r="D8" s="239">
        <f t="shared" si="0"/>
        <v>0.31197301854974707</v>
      </c>
      <c r="E8" s="239">
        <f t="shared" si="0"/>
        <v>0.90298507462686572</v>
      </c>
      <c r="F8" s="334" t="s">
        <v>216</v>
      </c>
      <c r="G8" s="322"/>
      <c r="H8" s="322"/>
      <c r="I8" s="322"/>
      <c r="J8" s="322"/>
      <c r="K8" s="322"/>
      <c r="L8" s="322"/>
      <c r="M8" s="322"/>
      <c r="N8" s="322"/>
      <c r="O8" s="341"/>
      <c r="P8" s="58"/>
    </row>
    <row r="10" spans="2:21" ht="15.75" thickBot="1"/>
    <row r="11" spans="2:21" ht="40.5" customHeight="1" thickBot="1">
      <c r="B11" s="291" t="s">
        <v>217</v>
      </c>
      <c r="C11" s="292"/>
      <c r="D11" s="292"/>
      <c r="E11" s="292"/>
      <c r="F11" s="292"/>
      <c r="G11" s="292"/>
      <c r="H11" s="292"/>
      <c r="I11" s="292"/>
      <c r="J11" s="292"/>
      <c r="K11" s="292"/>
      <c r="L11" s="292"/>
      <c r="M11" s="292"/>
      <c r="N11" s="292"/>
      <c r="O11" s="292"/>
      <c r="P11" s="292"/>
      <c r="Q11" s="292"/>
      <c r="R11" s="292"/>
      <c r="S11" s="293"/>
    </row>
    <row r="12" spans="2:21" ht="48.75" customHeight="1">
      <c r="B12" s="144" t="s">
        <v>97</v>
      </c>
      <c r="C12" s="145">
        <v>2025</v>
      </c>
      <c r="D12" s="145">
        <v>2035</v>
      </c>
      <c r="E12" s="145">
        <v>2050</v>
      </c>
      <c r="F12" s="58"/>
      <c r="G12" s="58"/>
      <c r="H12" s="58"/>
      <c r="I12" s="58"/>
      <c r="J12" s="58"/>
      <c r="K12" s="58"/>
      <c r="L12" s="58"/>
      <c r="M12" s="58"/>
      <c r="N12" s="58"/>
      <c r="O12" s="58"/>
      <c r="P12" s="58"/>
      <c r="Q12" s="58"/>
      <c r="R12" s="58"/>
      <c r="S12" s="58"/>
    </row>
    <row r="13" spans="2:21" ht="39.75" customHeight="1">
      <c r="B13" s="200">
        <f>SUM('A. Data- LEAP Windham'!I6,'A. Data- LEAP Windham'!I7,'A. Data- LEAP Windham'!I8,'A. Data- LEAP Windham'!I9,'A. Data- LEAP Windham'!I10,'A. Data- LEAP Windham'!I15,'A. Data- LEAP Windham'!U6,'A. Data- LEAP Windham'!U8,'A. Data- LEAP Windham'!U12,)</f>
        <v>2082.5</v>
      </c>
      <c r="C13" s="200">
        <f>SUM('A. Data- LEAP Windham'!J6,'A. Data- LEAP Windham'!J7,'A. Data- LEAP Windham'!J8,'A. Data- LEAP Windham'!J9,'A. Data- LEAP Windham'!J10,'A. Data- LEAP Windham'!J15,'A. Data- LEAP Windham'!V6,'A. Data- LEAP Windham'!V8,'A. Data- LEAP Windham'!V12,)</f>
        <v>2159.1999999999998</v>
      </c>
      <c r="D13" s="200">
        <f>SUM('A. Data- LEAP Windham'!K6,'A. Data- LEAP Windham'!K7,'A. Data- LEAP Windham'!K8,'A. Data- LEAP Windham'!K9,'A. Data- LEAP Windham'!K10,'A. Data- LEAP Windham'!K15,'A. Data- LEAP Windham'!W6,'A. Data- LEAP Windham'!W8,'A. Data- LEAP Windham'!W12,)</f>
        <v>2206</v>
      </c>
      <c r="E13" s="200">
        <f>SUM('A. Data- LEAP Windham'!L6,'A. Data- LEAP Windham'!L7,'A. Data- LEAP Windham'!L8,'A. Data- LEAP Windham'!L9,'A. Data- LEAP Windham'!L10,'A. Data- LEAP Windham'!L15,'A. Data- LEAP Windham'!X6,'A. Data- LEAP Windham'!X8,'A. Data- LEAP Windham'!X12,)</f>
        <v>2326.7999999999997</v>
      </c>
      <c r="F13" s="305" t="s">
        <v>220</v>
      </c>
      <c r="G13" s="306"/>
      <c r="H13" s="306"/>
      <c r="I13" s="306"/>
      <c r="J13" s="306"/>
      <c r="K13" s="306"/>
      <c r="L13" s="306"/>
      <c r="M13" s="306"/>
      <c r="N13" s="306"/>
      <c r="O13" s="307"/>
      <c r="P13" s="58"/>
      <c r="Q13" s="58"/>
      <c r="R13" s="58"/>
      <c r="S13" s="58"/>
    </row>
    <row r="14" spans="2:21" ht="39.75" customHeight="1">
      <c r="B14" s="202">
        <f>SUM('A. Data- LEAP Windham'!I16,'A. Data- LEAP Windham'!U13)</f>
        <v>4311.5</v>
      </c>
      <c r="C14" s="202">
        <f>SUM('A. Data- LEAP Windham'!J16,'A. Data- LEAP Windham'!V13)</f>
        <v>3837.3</v>
      </c>
      <c r="D14" s="202">
        <f>SUM('A. Data- LEAP Windham'!K16,'A. Data- LEAP Windham'!W13)</f>
        <v>3277.5</v>
      </c>
      <c r="E14" s="202">
        <f>SUM('A. Data- LEAP Windham'!L16,'A. Data- LEAP Windham'!X13)</f>
        <v>2505.1</v>
      </c>
      <c r="F14" s="308" t="s">
        <v>219</v>
      </c>
      <c r="G14" s="309"/>
      <c r="H14" s="309"/>
      <c r="I14" s="309"/>
      <c r="J14" s="309"/>
      <c r="K14" s="309"/>
      <c r="L14" s="309"/>
      <c r="M14" s="309"/>
      <c r="N14" s="309"/>
      <c r="O14" s="310"/>
      <c r="P14" s="58"/>
      <c r="Q14" s="58"/>
      <c r="R14" s="58"/>
      <c r="S14" s="58"/>
    </row>
    <row r="15" spans="2:21" ht="39.75" customHeight="1">
      <c r="B15" s="238">
        <f>B13/B14</f>
        <v>0.48301055317174996</v>
      </c>
      <c r="C15" s="238">
        <f t="shared" ref="C15:E15" si="1">C13/C14</f>
        <v>0.56268730617882357</v>
      </c>
      <c r="D15" s="238">
        <f t="shared" si="1"/>
        <v>0.67307398932112894</v>
      </c>
      <c r="E15" s="238">
        <f t="shared" si="1"/>
        <v>0.92882519659893814</v>
      </c>
      <c r="F15" s="334" t="s">
        <v>221</v>
      </c>
      <c r="G15" s="322"/>
      <c r="H15" s="322"/>
      <c r="I15" s="322"/>
      <c r="J15" s="322"/>
      <c r="K15" s="322"/>
      <c r="L15" s="322"/>
      <c r="M15" s="322"/>
      <c r="N15" s="322"/>
      <c r="O15" s="341"/>
      <c r="P15" s="58"/>
      <c r="Q15" s="58"/>
      <c r="R15" s="58"/>
      <c r="S15" s="58"/>
    </row>
  </sheetData>
  <mergeCells count="9">
    <mergeCell ref="B2:S2"/>
    <mergeCell ref="B4:S4"/>
    <mergeCell ref="F6:O6"/>
    <mergeCell ref="F7:O7"/>
    <mergeCell ref="B11:S11"/>
    <mergeCell ref="F13:O13"/>
    <mergeCell ref="F14:O14"/>
    <mergeCell ref="F15:O15"/>
    <mergeCell ref="F8:O8"/>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X44"/>
  <sheetViews>
    <sheetView zoomScale="90" zoomScaleNormal="90" workbookViewId="0">
      <selection activeCell="H40" sqref="H40"/>
    </sheetView>
  </sheetViews>
  <sheetFormatPr defaultRowHeight="15"/>
  <cols>
    <col min="1" max="1" width="3.140625" style="58" customWidth="1"/>
    <col min="2" max="2" width="31.5703125" customWidth="1"/>
    <col min="7" max="7" width="3.140625" customWidth="1"/>
    <col min="8" max="8" width="23.42578125" customWidth="1"/>
    <col min="12" max="12" width="11.85546875" customWidth="1"/>
    <col min="13" max="13" width="2.5703125" customWidth="1"/>
    <col min="14" max="14" width="33" customWidth="1"/>
    <col min="19" max="19" width="2.140625" customWidth="1"/>
    <col min="20" max="20" width="16.5703125" customWidth="1"/>
  </cols>
  <sheetData>
    <row r="1" spans="2:24" s="58" customFormat="1" ht="15.75" thickBot="1"/>
    <row r="2" spans="2:24" s="58" customFormat="1" ht="176.25" customHeight="1" thickBot="1">
      <c r="B2" s="342" t="s">
        <v>102</v>
      </c>
      <c r="C2" s="343"/>
      <c r="D2" s="343"/>
      <c r="E2" s="343"/>
      <c r="F2" s="343"/>
      <c r="G2" s="343"/>
      <c r="H2" s="343"/>
      <c r="I2" s="343"/>
      <c r="J2" s="343"/>
      <c r="K2" s="343"/>
      <c r="L2" s="343"/>
      <c r="M2" s="343"/>
      <c r="N2" s="343"/>
      <c r="O2" s="343"/>
      <c r="P2" s="343"/>
      <c r="Q2" s="343"/>
      <c r="R2" s="344"/>
    </row>
    <row r="4" spans="2:24" ht="32.25" customHeight="1">
      <c r="B4" s="346" t="s">
        <v>25</v>
      </c>
      <c r="C4" s="347"/>
      <c r="D4" s="347"/>
      <c r="E4" s="347"/>
      <c r="F4" s="348"/>
      <c r="H4" s="349" t="s">
        <v>30</v>
      </c>
      <c r="I4" s="350"/>
      <c r="J4" s="350"/>
      <c r="K4" s="350"/>
      <c r="L4" s="351"/>
      <c r="N4" s="346" t="s">
        <v>31</v>
      </c>
      <c r="O4" s="347"/>
      <c r="P4" s="347"/>
      <c r="Q4" s="347"/>
      <c r="R4" s="348"/>
      <c r="S4" s="10"/>
      <c r="T4" s="349" t="s">
        <v>32</v>
      </c>
      <c r="U4" s="350"/>
      <c r="V4" s="350"/>
      <c r="W4" s="350"/>
      <c r="X4" s="351"/>
    </row>
    <row r="5" spans="2:24">
      <c r="B5" s="11" t="s">
        <v>0</v>
      </c>
      <c r="C5" s="12">
        <v>2015</v>
      </c>
      <c r="D5" s="12">
        <v>2025</v>
      </c>
      <c r="E5" s="12">
        <v>2035</v>
      </c>
      <c r="F5" s="13">
        <v>2050</v>
      </c>
      <c r="H5" s="11" t="s">
        <v>0</v>
      </c>
      <c r="I5" s="12">
        <v>2015</v>
      </c>
      <c r="J5" s="12">
        <v>2025</v>
      </c>
      <c r="K5" s="12">
        <v>2035</v>
      </c>
      <c r="L5" s="13">
        <v>2050</v>
      </c>
      <c r="N5" s="11" t="s">
        <v>0</v>
      </c>
      <c r="O5" s="12">
        <v>2015</v>
      </c>
      <c r="P5" s="12">
        <v>2025</v>
      </c>
      <c r="Q5" s="12">
        <v>2035</v>
      </c>
      <c r="R5" s="13">
        <v>2050</v>
      </c>
      <c r="S5" s="2"/>
      <c r="T5" s="11" t="s">
        <v>0</v>
      </c>
      <c r="U5" s="12">
        <v>2015</v>
      </c>
      <c r="V5" s="12">
        <v>2025</v>
      </c>
      <c r="W5" s="12">
        <v>2035</v>
      </c>
      <c r="X5" s="13">
        <v>2050</v>
      </c>
    </row>
    <row r="6" spans="2:24">
      <c r="B6" s="1" t="s">
        <v>1</v>
      </c>
      <c r="C6" s="2" t="s">
        <v>2</v>
      </c>
      <c r="D6" s="2" t="s">
        <v>2</v>
      </c>
      <c r="E6" s="2" t="s">
        <v>2</v>
      </c>
      <c r="F6" s="3" t="s">
        <v>2</v>
      </c>
      <c r="H6" s="1" t="s">
        <v>1</v>
      </c>
      <c r="I6" s="4">
        <v>6</v>
      </c>
      <c r="J6" s="4">
        <v>30</v>
      </c>
      <c r="K6" s="4">
        <v>55</v>
      </c>
      <c r="L6" s="5">
        <v>96</v>
      </c>
      <c r="N6" s="1" t="s">
        <v>13</v>
      </c>
      <c r="O6" s="4" t="s">
        <v>2</v>
      </c>
      <c r="P6" s="4" t="s">
        <v>2</v>
      </c>
      <c r="Q6" s="4" t="s">
        <v>2</v>
      </c>
      <c r="R6" s="5" t="s">
        <v>2</v>
      </c>
      <c r="S6" s="2"/>
      <c r="T6" s="1" t="s">
        <v>13</v>
      </c>
      <c r="U6" s="4">
        <v>6.1</v>
      </c>
      <c r="V6" s="4">
        <v>38.299999999999997</v>
      </c>
      <c r="W6" s="4">
        <v>71.900000000000006</v>
      </c>
      <c r="X6" s="5">
        <v>127.8</v>
      </c>
    </row>
    <row r="7" spans="2:24">
      <c r="B7" s="1" t="s">
        <v>3</v>
      </c>
      <c r="C7" s="4">
        <v>1106</v>
      </c>
      <c r="D7" s="4">
        <v>1044</v>
      </c>
      <c r="E7" s="4">
        <v>1002</v>
      </c>
      <c r="F7" s="5">
        <v>976</v>
      </c>
      <c r="H7" s="1" t="s">
        <v>3</v>
      </c>
      <c r="I7" s="4">
        <v>1096</v>
      </c>
      <c r="J7" s="4">
        <v>984</v>
      </c>
      <c r="K7" s="4">
        <v>863</v>
      </c>
      <c r="L7" s="5">
        <v>738</v>
      </c>
      <c r="N7" s="1" t="s">
        <v>14</v>
      </c>
      <c r="O7" s="4">
        <v>321</v>
      </c>
      <c r="P7" s="4">
        <v>264</v>
      </c>
      <c r="Q7" s="4">
        <v>197</v>
      </c>
      <c r="R7" s="5">
        <v>92</v>
      </c>
      <c r="S7" s="2"/>
      <c r="T7" s="1" t="s">
        <v>14</v>
      </c>
      <c r="U7" s="4">
        <v>317</v>
      </c>
      <c r="V7" s="4">
        <v>236.4</v>
      </c>
      <c r="W7" s="4">
        <v>145.5</v>
      </c>
      <c r="X7" s="5">
        <v>0.9</v>
      </c>
    </row>
    <row r="8" spans="2:24">
      <c r="B8" s="1" t="s">
        <v>4</v>
      </c>
      <c r="C8" s="4">
        <v>117</v>
      </c>
      <c r="D8" s="4">
        <v>89</v>
      </c>
      <c r="E8" s="4">
        <v>58</v>
      </c>
      <c r="F8" s="5">
        <v>13</v>
      </c>
      <c r="H8" s="1" t="s">
        <v>4</v>
      </c>
      <c r="I8" s="4">
        <v>118</v>
      </c>
      <c r="J8" s="4">
        <v>93</v>
      </c>
      <c r="K8" s="4">
        <v>54</v>
      </c>
      <c r="L8" s="5">
        <v>11</v>
      </c>
      <c r="N8" s="1" t="s">
        <v>15</v>
      </c>
      <c r="O8" s="4">
        <v>587</v>
      </c>
      <c r="P8" s="4">
        <v>624</v>
      </c>
      <c r="Q8" s="4">
        <v>651</v>
      </c>
      <c r="R8" s="5">
        <v>708</v>
      </c>
      <c r="S8" s="4"/>
      <c r="T8" s="1" t="s">
        <v>15</v>
      </c>
      <c r="U8" s="4">
        <v>578.5</v>
      </c>
      <c r="V8" s="4">
        <v>572.79999999999995</v>
      </c>
      <c r="W8" s="4">
        <v>555.20000000000005</v>
      </c>
      <c r="X8" s="5">
        <v>537.79999999999995</v>
      </c>
    </row>
    <row r="9" spans="2:24">
      <c r="B9" s="1" t="s">
        <v>5</v>
      </c>
      <c r="C9" s="4">
        <v>16</v>
      </c>
      <c r="D9" s="4">
        <v>84</v>
      </c>
      <c r="E9" s="4">
        <v>142</v>
      </c>
      <c r="F9" s="5">
        <v>201</v>
      </c>
      <c r="H9" s="1" t="s">
        <v>5</v>
      </c>
      <c r="I9" s="4">
        <v>16</v>
      </c>
      <c r="J9" s="4">
        <v>83</v>
      </c>
      <c r="K9" s="4">
        <v>161</v>
      </c>
      <c r="L9" s="5">
        <v>216</v>
      </c>
      <c r="N9" s="1" t="s">
        <v>8</v>
      </c>
      <c r="O9" s="4">
        <v>242</v>
      </c>
      <c r="P9" s="4">
        <v>261</v>
      </c>
      <c r="Q9" s="4">
        <v>276</v>
      </c>
      <c r="R9" s="5">
        <v>306</v>
      </c>
      <c r="S9" s="4"/>
      <c r="T9" s="1" t="s">
        <v>8</v>
      </c>
      <c r="U9" s="4">
        <v>232.5</v>
      </c>
      <c r="V9" s="4">
        <v>200.5</v>
      </c>
      <c r="W9" s="4">
        <v>162.19999999999999</v>
      </c>
      <c r="X9" s="5">
        <v>103.3</v>
      </c>
    </row>
    <row r="10" spans="2:24">
      <c r="B10" s="1" t="s">
        <v>6</v>
      </c>
      <c r="C10" s="4">
        <v>1</v>
      </c>
      <c r="D10" s="4">
        <v>8</v>
      </c>
      <c r="E10" s="4">
        <v>31</v>
      </c>
      <c r="F10" s="5">
        <v>88</v>
      </c>
      <c r="H10" s="1" t="s">
        <v>6</v>
      </c>
      <c r="I10" s="4">
        <v>5</v>
      </c>
      <c r="J10" s="4">
        <v>29</v>
      </c>
      <c r="K10" s="4">
        <v>60</v>
      </c>
      <c r="L10" s="5">
        <v>96</v>
      </c>
      <c r="N10" s="1" t="s">
        <v>9</v>
      </c>
      <c r="O10" s="4" t="s">
        <v>2</v>
      </c>
      <c r="P10" s="4" t="s">
        <v>2</v>
      </c>
      <c r="Q10" s="4" t="s">
        <v>2</v>
      </c>
      <c r="R10" s="5" t="s">
        <v>2</v>
      </c>
      <c r="S10" s="4"/>
      <c r="T10" s="1" t="s">
        <v>9</v>
      </c>
      <c r="U10" s="4" t="s">
        <v>2</v>
      </c>
      <c r="V10" s="4" t="s">
        <v>2</v>
      </c>
      <c r="W10" s="4" t="s">
        <v>2</v>
      </c>
      <c r="X10" s="5" t="s">
        <v>2</v>
      </c>
    </row>
    <row r="11" spans="2:24">
      <c r="B11" s="1" t="s">
        <v>7</v>
      </c>
      <c r="C11" s="4">
        <v>65</v>
      </c>
      <c r="D11" s="4">
        <v>51</v>
      </c>
      <c r="E11" s="4">
        <v>37</v>
      </c>
      <c r="F11" s="5">
        <v>17</v>
      </c>
      <c r="H11" s="1" t="s">
        <v>7</v>
      </c>
      <c r="I11" s="4">
        <v>63</v>
      </c>
      <c r="J11" s="4">
        <v>45</v>
      </c>
      <c r="K11" s="4">
        <v>27</v>
      </c>
      <c r="L11" s="5" t="s">
        <v>2</v>
      </c>
      <c r="N11" s="1" t="s">
        <v>16</v>
      </c>
      <c r="O11" s="4">
        <v>33</v>
      </c>
      <c r="P11" s="4">
        <v>24</v>
      </c>
      <c r="Q11" s="4">
        <v>15</v>
      </c>
      <c r="R11" s="5" t="s">
        <v>2</v>
      </c>
      <c r="S11" s="2"/>
      <c r="T11" s="1" t="s">
        <v>16</v>
      </c>
      <c r="U11" s="4">
        <v>32.5</v>
      </c>
      <c r="V11" s="4">
        <v>24.2</v>
      </c>
      <c r="W11" s="4">
        <v>14.9</v>
      </c>
      <c r="X11" s="5" t="s">
        <v>2</v>
      </c>
    </row>
    <row r="12" spans="2:24">
      <c r="B12" s="1" t="s">
        <v>8</v>
      </c>
      <c r="C12" s="4">
        <v>535</v>
      </c>
      <c r="D12" s="4">
        <v>452</v>
      </c>
      <c r="E12" s="4">
        <v>370</v>
      </c>
      <c r="F12" s="5">
        <v>238</v>
      </c>
      <c r="H12" s="1" t="s">
        <v>8</v>
      </c>
      <c r="I12" s="4">
        <v>525</v>
      </c>
      <c r="J12" s="4">
        <v>405</v>
      </c>
      <c r="K12" s="4">
        <v>270</v>
      </c>
      <c r="L12" s="5">
        <v>74</v>
      </c>
      <c r="N12" s="1" t="s">
        <v>17</v>
      </c>
      <c r="O12" s="4">
        <v>105</v>
      </c>
      <c r="P12" s="4">
        <v>118</v>
      </c>
      <c r="Q12" s="4">
        <v>129</v>
      </c>
      <c r="R12" s="5">
        <v>150</v>
      </c>
      <c r="S12" s="4"/>
      <c r="T12" s="1" t="s">
        <v>17</v>
      </c>
      <c r="U12" s="4">
        <v>109.9</v>
      </c>
      <c r="V12" s="4">
        <v>150.1</v>
      </c>
      <c r="W12" s="4">
        <v>189.9</v>
      </c>
      <c r="X12" s="5">
        <v>258.2</v>
      </c>
    </row>
    <row r="13" spans="2:24">
      <c r="B13" s="1" t="s">
        <v>9</v>
      </c>
      <c r="C13" s="4" t="s">
        <v>2</v>
      </c>
      <c r="D13" s="4" t="s">
        <v>2</v>
      </c>
      <c r="E13" s="4" t="s">
        <v>2</v>
      </c>
      <c r="F13" s="5" t="s">
        <v>2</v>
      </c>
      <c r="H13" s="1" t="s">
        <v>9</v>
      </c>
      <c r="I13" s="4" t="s">
        <v>2</v>
      </c>
      <c r="J13" s="4" t="s">
        <v>2</v>
      </c>
      <c r="K13" s="4" t="s">
        <v>2</v>
      </c>
      <c r="L13" s="5" t="s">
        <v>2</v>
      </c>
      <c r="N13" s="7" t="s">
        <v>12</v>
      </c>
      <c r="O13" s="8">
        <v>1287</v>
      </c>
      <c r="P13" s="8">
        <v>1291</v>
      </c>
      <c r="Q13" s="8">
        <v>1268</v>
      </c>
      <c r="R13" s="9">
        <v>1256</v>
      </c>
      <c r="S13" s="4"/>
      <c r="T13" s="7" t="s">
        <v>12</v>
      </c>
      <c r="U13" s="8">
        <v>1276.5</v>
      </c>
      <c r="V13" s="8">
        <v>1222.3</v>
      </c>
      <c r="W13" s="8">
        <v>1139.5</v>
      </c>
      <c r="X13" s="9">
        <v>1028.0999999999999</v>
      </c>
    </row>
    <row r="14" spans="2:24">
      <c r="B14" s="1" t="s">
        <v>10</v>
      </c>
      <c r="C14" s="4">
        <v>1090</v>
      </c>
      <c r="D14" s="4">
        <v>891</v>
      </c>
      <c r="E14" s="4">
        <v>664</v>
      </c>
      <c r="F14" s="5">
        <v>293</v>
      </c>
      <c r="H14" s="1" t="s">
        <v>10</v>
      </c>
      <c r="I14" s="4">
        <v>1059</v>
      </c>
      <c r="J14" s="4">
        <v>767</v>
      </c>
      <c r="K14" s="4">
        <v>452</v>
      </c>
      <c r="L14" s="5" t="s">
        <v>2</v>
      </c>
    </row>
    <row r="15" spans="2:24">
      <c r="B15" s="1" t="s">
        <v>11</v>
      </c>
      <c r="C15" s="4">
        <v>150</v>
      </c>
      <c r="D15" s="4">
        <v>160</v>
      </c>
      <c r="E15" s="4">
        <v>178</v>
      </c>
      <c r="F15" s="5">
        <v>226</v>
      </c>
      <c r="H15" s="1" t="s">
        <v>11</v>
      </c>
      <c r="I15" s="4">
        <v>147</v>
      </c>
      <c r="J15" s="4">
        <v>179</v>
      </c>
      <c r="K15" s="4">
        <v>196</v>
      </c>
      <c r="L15" s="5">
        <v>246</v>
      </c>
    </row>
    <row r="16" spans="2:24">
      <c r="B16" s="7" t="s">
        <v>12</v>
      </c>
      <c r="C16" s="8">
        <f>SUM(C6:C15)</f>
        <v>3080</v>
      </c>
      <c r="D16" s="8">
        <f>SUM(D6:D15)</f>
        <v>2779</v>
      </c>
      <c r="E16" s="8">
        <f>SUM(E6:E15)</f>
        <v>2482</v>
      </c>
      <c r="F16" s="9">
        <f>SUM(F6:F15)</f>
        <v>2052</v>
      </c>
      <c r="H16" s="7" t="s">
        <v>12</v>
      </c>
      <c r="I16" s="8">
        <f>SUM(I6:I15)</f>
        <v>3035</v>
      </c>
      <c r="J16" s="8">
        <f>SUM(J6:J15)</f>
        <v>2615</v>
      </c>
      <c r="K16" s="8">
        <f>SUM(K6:K15)</f>
        <v>2138</v>
      </c>
      <c r="L16" s="9">
        <f>SUM(L6:L15)</f>
        <v>1477</v>
      </c>
    </row>
    <row r="18" spans="2:24" ht="33.75" customHeight="1">
      <c r="B18" s="346" t="s">
        <v>45</v>
      </c>
      <c r="C18" s="347"/>
      <c r="D18" s="347"/>
      <c r="E18" s="347"/>
      <c r="F18" s="348"/>
      <c r="H18" s="349" t="s">
        <v>46</v>
      </c>
      <c r="I18" s="350"/>
      <c r="J18" s="350"/>
      <c r="K18" s="350"/>
      <c r="L18" s="351"/>
      <c r="N18" s="352" t="s">
        <v>35</v>
      </c>
      <c r="O18" s="353"/>
      <c r="P18" s="353"/>
      <c r="Q18" s="353"/>
      <c r="R18" s="354"/>
      <c r="T18" s="349" t="s">
        <v>36</v>
      </c>
      <c r="U18" s="350"/>
      <c r="V18" s="350"/>
      <c r="W18" s="350"/>
      <c r="X18" s="351"/>
    </row>
    <row r="19" spans="2:24">
      <c r="B19" s="14" t="s">
        <v>0</v>
      </c>
      <c r="C19" s="15">
        <v>2015</v>
      </c>
      <c r="D19" s="15">
        <v>2025</v>
      </c>
      <c r="E19" s="15">
        <v>2035</v>
      </c>
      <c r="F19" s="16">
        <v>2050</v>
      </c>
      <c r="H19" s="14" t="s">
        <v>0</v>
      </c>
      <c r="I19" s="15">
        <v>2015</v>
      </c>
      <c r="J19" s="15">
        <v>2025</v>
      </c>
      <c r="K19" s="15">
        <v>2035</v>
      </c>
      <c r="L19" s="16">
        <v>2050</v>
      </c>
      <c r="N19" s="11" t="s">
        <v>0</v>
      </c>
      <c r="O19" s="12">
        <v>2015</v>
      </c>
      <c r="P19" s="12">
        <v>2025</v>
      </c>
      <c r="Q19" s="12">
        <v>2035</v>
      </c>
      <c r="R19" s="13">
        <v>2050</v>
      </c>
      <c r="T19" s="11" t="s">
        <v>0</v>
      </c>
      <c r="U19" s="12">
        <v>2015</v>
      </c>
      <c r="V19" s="12">
        <v>2025</v>
      </c>
      <c r="W19" s="12">
        <v>2035</v>
      </c>
      <c r="X19" s="13">
        <v>2050</v>
      </c>
    </row>
    <row r="20" spans="2:24">
      <c r="B20" s="1" t="s">
        <v>21</v>
      </c>
      <c r="C20" s="4">
        <v>2103</v>
      </c>
      <c r="D20" s="4">
        <v>1714</v>
      </c>
      <c r="E20" s="4">
        <v>1480</v>
      </c>
      <c r="F20" s="5">
        <v>1283</v>
      </c>
      <c r="H20" s="1" t="s">
        <v>21</v>
      </c>
      <c r="I20" s="4">
        <v>2109</v>
      </c>
      <c r="J20" s="4">
        <v>1685</v>
      </c>
      <c r="K20" s="4">
        <v>856</v>
      </c>
      <c r="L20" s="5">
        <v>69</v>
      </c>
      <c r="N20" s="1" t="s">
        <v>18</v>
      </c>
      <c r="O20" s="4">
        <v>7</v>
      </c>
      <c r="P20" s="4">
        <v>7</v>
      </c>
      <c r="Q20" s="4">
        <v>5</v>
      </c>
      <c r="R20" s="5">
        <v>1</v>
      </c>
      <c r="T20" s="1" t="s">
        <v>18</v>
      </c>
      <c r="U20" s="4">
        <v>39</v>
      </c>
      <c r="V20" s="4">
        <v>191</v>
      </c>
      <c r="W20" s="4">
        <v>337</v>
      </c>
      <c r="X20" s="5">
        <v>554</v>
      </c>
    </row>
    <row r="21" spans="2:24">
      <c r="B21" s="1" t="s">
        <v>22</v>
      </c>
      <c r="C21" s="4">
        <v>285</v>
      </c>
      <c r="D21" s="4">
        <v>232</v>
      </c>
      <c r="E21" s="4">
        <v>198</v>
      </c>
      <c r="F21" s="5">
        <v>169</v>
      </c>
      <c r="H21" s="1" t="s">
        <v>22</v>
      </c>
      <c r="I21" s="4">
        <v>282</v>
      </c>
      <c r="J21" s="4">
        <v>189</v>
      </c>
      <c r="K21" s="4">
        <v>103</v>
      </c>
      <c r="L21" s="5">
        <v>12</v>
      </c>
      <c r="N21" s="1" t="s">
        <v>19</v>
      </c>
      <c r="O21" s="4">
        <v>20</v>
      </c>
      <c r="P21" s="4">
        <v>40</v>
      </c>
      <c r="Q21" s="4">
        <v>66</v>
      </c>
      <c r="R21" s="5">
        <v>117</v>
      </c>
      <c r="T21" s="1" t="s">
        <v>19</v>
      </c>
      <c r="U21" s="4">
        <v>17</v>
      </c>
      <c r="V21" s="4">
        <v>15</v>
      </c>
      <c r="W21" s="4">
        <v>13</v>
      </c>
      <c r="X21" s="5">
        <v>11</v>
      </c>
    </row>
    <row r="22" spans="2:24">
      <c r="B22" s="1" t="s">
        <v>23</v>
      </c>
      <c r="C22" s="4">
        <v>1</v>
      </c>
      <c r="D22" s="4">
        <v>7</v>
      </c>
      <c r="E22" s="4">
        <v>11</v>
      </c>
      <c r="F22" s="5">
        <v>16</v>
      </c>
      <c r="H22" s="1" t="s">
        <v>23</v>
      </c>
      <c r="I22" s="4">
        <v>2</v>
      </c>
      <c r="J22" s="4">
        <v>26</v>
      </c>
      <c r="K22" s="4">
        <v>174</v>
      </c>
      <c r="L22" s="5">
        <v>349</v>
      </c>
      <c r="N22" s="1" t="s">
        <v>20</v>
      </c>
      <c r="O22" s="4">
        <v>590</v>
      </c>
      <c r="P22" s="4">
        <v>643</v>
      </c>
      <c r="Q22" s="4">
        <v>661</v>
      </c>
      <c r="R22" s="5">
        <v>621</v>
      </c>
      <c r="T22" s="1" t="s">
        <v>20</v>
      </c>
      <c r="U22" s="4">
        <v>540</v>
      </c>
      <c r="V22" s="4">
        <v>374</v>
      </c>
      <c r="W22" s="4">
        <v>222</v>
      </c>
      <c r="X22" s="5">
        <v>7</v>
      </c>
    </row>
    <row r="23" spans="2:24">
      <c r="B23" s="1" t="s">
        <v>20</v>
      </c>
      <c r="C23" s="4">
        <v>76</v>
      </c>
      <c r="D23" s="4">
        <v>73</v>
      </c>
      <c r="E23" s="4">
        <v>72</v>
      </c>
      <c r="F23" s="5">
        <v>73</v>
      </c>
      <c r="H23" s="1" t="s">
        <v>20</v>
      </c>
      <c r="I23" s="4">
        <v>71</v>
      </c>
      <c r="J23" s="4">
        <v>44</v>
      </c>
      <c r="K23" s="4">
        <v>24</v>
      </c>
      <c r="L23" s="5">
        <v>1</v>
      </c>
      <c r="N23" s="1" t="s">
        <v>8</v>
      </c>
      <c r="O23" s="4">
        <v>8</v>
      </c>
      <c r="P23" s="4">
        <v>8</v>
      </c>
      <c r="Q23" s="4">
        <v>7</v>
      </c>
      <c r="R23" s="5">
        <v>4</v>
      </c>
      <c r="T23" s="1" t="s">
        <v>8</v>
      </c>
      <c r="U23" s="4">
        <v>7</v>
      </c>
      <c r="V23" s="4">
        <v>6</v>
      </c>
      <c r="W23" s="4">
        <v>5</v>
      </c>
      <c r="X23" s="5">
        <v>4</v>
      </c>
    </row>
    <row r="24" spans="2:24">
      <c r="B24" s="1" t="s">
        <v>18</v>
      </c>
      <c r="C24" s="4">
        <v>1</v>
      </c>
      <c r="D24" s="4">
        <v>1</v>
      </c>
      <c r="E24" s="4">
        <v>0</v>
      </c>
      <c r="F24" s="5">
        <v>0</v>
      </c>
      <c r="H24" s="1" t="s">
        <v>18</v>
      </c>
      <c r="I24" s="4">
        <v>6</v>
      </c>
      <c r="J24" s="4">
        <v>28</v>
      </c>
      <c r="K24" s="4">
        <v>44</v>
      </c>
      <c r="L24" s="5">
        <v>65</v>
      </c>
      <c r="N24" s="7" t="s">
        <v>12</v>
      </c>
      <c r="O24" s="8">
        <v>626</v>
      </c>
      <c r="P24" s="8">
        <v>697</v>
      </c>
      <c r="Q24" s="8">
        <v>739</v>
      </c>
      <c r="R24" s="9">
        <v>743</v>
      </c>
      <c r="T24" s="7" t="s">
        <v>12</v>
      </c>
      <c r="U24" s="8">
        <v>604</v>
      </c>
      <c r="V24" s="8">
        <v>587</v>
      </c>
      <c r="W24" s="8">
        <v>578</v>
      </c>
      <c r="X24" s="9">
        <v>576</v>
      </c>
    </row>
    <row r="25" spans="2:24">
      <c r="B25" s="6" t="s">
        <v>24</v>
      </c>
      <c r="C25" s="18" t="s">
        <v>2</v>
      </c>
      <c r="D25" s="18" t="s">
        <v>2</v>
      </c>
      <c r="E25" s="18" t="s">
        <v>2</v>
      </c>
      <c r="F25" s="19" t="s">
        <v>2</v>
      </c>
      <c r="H25" s="1" t="s">
        <v>24</v>
      </c>
      <c r="I25" s="4" t="s">
        <v>2</v>
      </c>
      <c r="J25" s="4" t="s">
        <v>2</v>
      </c>
      <c r="K25" s="4" t="s">
        <v>2</v>
      </c>
      <c r="L25" s="5" t="s">
        <v>2</v>
      </c>
    </row>
    <row r="26" spans="2:24">
      <c r="B26" s="7" t="s">
        <v>12</v>
      </c>
      <c r="C26" s="8">
        <f>SUM(C20:C25)</f>
        <v>2466</v>
      </c>
      <c r="D26" s="8">
        <f>SUM(D20:D25)</f>
        <v>2027</v>
      </c>
      <c r="E26" s="8">
        <f>SUM(E20:E25)</f>
        <v>1761</v>
      </c>
      <c r="F26" s="9">
        <f>SUM(F20:F25)</f>
        <v>1541</v>
      </c>
      <c r="H26" s="7" t="s">
        <v>12</v>
      </c>
      <c r="I26" s="8">
        <f>SUM(I20:I25)</f>
        <v>2470</v>
      </c>
      <c r="J26" s="8">
        <f>SUM(J20:J25)</f>
        <v>1972</v>
      </c>
      <c r="K26" s="8">
        <f>SUM(K20:K25)</f>
        <v>1201</v>
      </c>
      <c r="L26" s="9">
        <f>SUM(L20:L25)</f>
        <v>496</v>
      </c>
    </row>
    <row r="28" spans="2:24" ht="19.5" customHeight="1">
      <c r="B28" s="137" t="s">
        <v>143</v>
      </c>
      <c r="C28" s="139"/>
      <c r="D28" s="139"/>
      <c r="E28" s="139"/>
      <c r="F28" s="140"/>
      <c r="H28" s="138" t="s">
        <v>144</v>
      </c>
      <c r="I28" s="141"/>
      <c r="J28" s="141"/>
      <c r="K28" s="141"/>
      <c r="L28" s="142"/>
    </row>
    <row r="29" spans="2:24" ht="19.5" customHeight="1">
      <c r="B29" s="60" t="s">
        <v>0</v>
      </c>
      <c r="C29" s="143">
        <v>2015</v>
      </c>
      <c r="D29" s="143">
        <v>2025</v>
      </c>
      <c r="E29" s="143">
        <v>2035</v>
      </c>
      <c r="F29" s="64">
        <v>2050</v>
      </c>
      <c r="H29" s="60" t="s">
        <v>0</v>
      </c>
      <c r="I29" s="143">
        <v>2015</v>
      </c>
      <c r="J29" s="143">
        <v>2025</v>
      </c>
      <c r="K29" s="143">
        <v>2035</v>
      </c>
      <c r="L29" s="64">
        <v>2050</v>
      </c>
    </row>
    <row r="30" spans="2:24" ht="19.5" customHeight="1">
      <c r="B30" s="60" t="s">
        <v>41</v>
      </c>
      <c r="C30" s="143">
        <v>3</v>
      </c>
      <c r="D30" s="143">
        <v>4</v>
      </c>
      <c r="E30" s="143">
        <v>4</v>
      </c>
      <c r="F30" s="64">
        <v>4</v>
      </c>
      <c r="H30" s="60" t="s">
        <v>41</v>
      </c>
      <c r="I30" s="143">
        <v>3</v>
      </c>
      <c r="J30" s="143">
        <v>3</v>
      </c>
      <c r="K30" s="143">
        <v>3</v>
      </c>
      <c r="L30" s="64">
        <v>3</v>
      </c>
    </row>
    <row r="31" spans="2:24" ht="19.5" customHeight="1">
      <c r="B31" s="60" t="s">
        <v>26</v>
      </c>
      <c r="C31" s="143">
        <v>22</v>
      </c>
      <c r="D31" s="143">
        <v>24</v>
      </c>
      <c r="E31" s="143">
        <v>27</v>
      </c>
      <c r="F31" s="64">
        <v>33</v>
      </c>
      <c r="H31" s="60" t="s">
        <v>26</v>
      </c>
      <c r="I31" s="143">
        <v>22</v>
      </c>
      <c r="J31" s="143">
        <v>22</v>
      </c>
      <c r="K31" s="143">
        <v>23</v>
      </c>
      <c r="L31" s="64">
        <v>25</v>
      </c>
    </row>
    <row r="32" spans="2:24" ht="19.5" customHeight="1">
      <c r="B32" s="60" t="s">
        <v>39</v>
      </c>
      <c r="C32" s="143">
        <v>15</v>
      </c>
      <c r="D32" s="143">
        <v>14</v>
      </c>
      <c r="E32" s="143">
        <v>14</v>
      </c>
      <c r="F32" s="64">
        <v>14</v>
      </c>
      <c r="H32" s="60" t="s">
        <v>39</v>
      </c>
      <c r="I32" s="143">
        <v>14</v>
      </c>
      <c r="J32" s="143">
        <v>13</v>
      </c>
      <c r="K32" s="143">
        <v>12</v>
      </c>
      <c r="L32" s="64">
        <v>11</v>
      </c>
    </row>
    <row r="33" spans="2:12" ht="19.5" customHeight="1">
      <c r="B33" s="60" t="s">
        <v>27</v>
      </c>
      <c r="C33" s="143">
        <v>3</v>
      </c>
      <c r="D33" s="143">
        <v>4</v>
      </c>
      <c r="E33" s="143">
        <v>4</v>
      </c>
      <c r="F33" s="64">
        <v>4</v>
      </c>
      <c r="H33" s="60" t="s">
        <v>27</v>
      </c>
      <c r="I33" s="143">
        <v>3</v>
      </c>
      <c r="J33" s="143">
        <v>3</v>
      </c>
      <c r="K33" s="143">
        <v>3</v>
      </c>
      <c r="L33" s="64">
        <v>3</v>
      </c>
    </row>
    <row r="34" spans="2:12" ht="19.5" customHeight="1">
      <c r="B34" s="60" t="s">
        <v>28</v>
      </c>
      <c r="C34" s="143">
        <v>45</v>
      </c>
      <c r="D34" s="143">
        <v>38</v>
      </c>
      <c r="E34" s="143">
        <v>34</v>
      </c>
      <c r="F34" s="64">
        <v>29</v>
      </c>
      <c r="H34" s="60" t="s">
        <v>28</v>
      </c>
      <c r="I34" s="143">
        <v>43</v>
      </c>
      <c r="J34" s="143">
        <v>31</v>
      </c>
      <c r="K34" s="143">
        <v>22</v>
      </c>
      <c r="L34" s="64">
        <v>15</v>
      </c>
    </row>
    <row r="35" spans="2:12" ht="19.5" customHeight="1">
      <c r="B35" s="60" t="s">
        <v>42</v>
      </c>
      <c r="C35" s="143">
        <v>1</v>
      </c>
      <c r="D35" s="143">
        <v>5</v>
      </c>
      <c r="E35" s="143">
        <v>8</v>
      </c>
      <c r="F35" s="64">
        <v>11</v>
      </c>
      <c r="H35" s="60" t="s">
        <v>42</v>
      </c>
      <c r="I35" s="143">
        <v>1</v>
      </c>
      <c r="J35" s="143">
        <v>5</v>
      </c>
      <c r="K35" s="143">
        <v>9</v>
      </c>
      <c r="L35" s="64">
        <v>13</v>
      </c>
    </row>
    <row r="36" spans="2:12" ht="19.5" customHeight="1">
      <c r="B36" s="60" t="s">
        <v>29</v>
      </c>
      <c r="C36" s="143">
        <v>57</v>
      </c>
      <c r="D36" s="143">
        <v>77</v>
      </c>
      <c r="E36" s="143">
        <v>93</v>
      </c>
      <c r="F36" s="64">
        <v>110</v>
      </c>
      <c r="H36" s="60" t="s">
        <v>29</v>
      </c>
      <c r="I36" s="143">
        <v>50</v>
      </c>
      <c r="J36" s="143">
        <v>49</v>
      </c>
      <c r="K36" s="143">
        <v>46</v>
      </c>
      <c r="L36" s="64">
        <v>40</v>
      </c>
    </row>
    <row r="37" spans="2:12" ht="19.5" customHeight="1">
      <c r="B37" s="60" t="s">
        <v>40</v>
      </c>
      <c r="C37" s="143">
        <v>3</v>
      </c>
      <c r="D37" s="143">
        <v>3</v>
      </c>
      <c r="E37" s="143">
        <v>3</v>
      </c>
      <c r="F37" s="64">
        <v>4</v>
      </c>
      <c r="H37" s="60" t="s">
        <v>40</v>
      </c>
      <c r="I37" s="143">
        <v>3</v>
      </c>
      <c r="J37" s="143">
        <v>3</v>
      </c>
      <c r="K37" s="143">
        <v>3</v>
      </c>
      <c r="L37" s="64">
        <v>3</v>
      </c>
    </row>
    <row r="38" spans="2:12" ht="19.5" customHeight="1">
      <c r="B38" s="60" t="s">
        <v>43</v>
      </c>
      <c r="C38" s="143">
        <v>6</v>
      </c>
      <c r="D38" s="143">
        <v>6</v>
      </c>
      <c r="E38" s="143">
        <v>6</v>
      </c>
      <c r="F38" s="64">
        <v>5</v>
      </c>
      <c r="H38" s="60" t="s">
        <v>43</v>
      </c>
      <c r="I38" s="143">
        <v>5</v>
      </c>
      <c r="J38" s="143">
        <v>5</v>
      </c>
      <c r="K38" s="143">
        <v>5</v>
      </c>
      <c r="L38" s="64">
        <v>3</v>
      </c>
    </row>
    <row r="39" spans="2:12" ht="19.5" customHeight="1">
      <c r="B39" s="7" t="s">
        <v>12</v>
      </c>
      <c r="C39" s="177">
        <f>SUM(C30:C38)</f>
        <v>155</v>
      </c>
      <c r="D39" s="177">
        <f>SUM(D30:D38)</f>
        <v>175</v>
      </c>
      <c r="E39" s="177">
        <f>SUM(E30:E38)</f>
        <v>193</v>
      </c>
      <c r="F39" s="178">
        <f>SUM(F30:F38)</f>
        <v>214</v>
      </c>
      <c r="H39" s="7" t="s">
        <v>12</v>
      </c>
      <c r="I39" s="177">
        <f>SUM(I30:I38)</f>
        <v>144</v>
      </c>
      <c r="J39" s="177">
        <f>SUM(J30:J38)</f>
        <v>134</v>
      </c>
      <c r="K39" s="177">
        <f>SUM(K30:K38)</f>
        <v>126</v>
      </c>
      <c r="L39" s="178">
        <f>SUM(L30:L38)</f>
        <v>116</v>
      </c>
    </row>
    <row r="40" spans="2:12" ht="19.5" customHeight="1"/>
    <row r="41" spans="2:12" ht="19.5" customHeight="1"/>
    <row r="42" spans="2:12" ht="24.75" customHeight="1"/>
    <row r="43" spans="2:12" ht="19.5" customHeight="1">
      <c r="B43" s="345" t="s">
        <v>44</v>
      </c>
      <c r="C43" s="17">
        <v>2015</v>
      </c>
      <c r="D43" s="17">
        <v>2025</v>
      </c>
      <c r="E43" s="17">
        <v>2035</v>
      </c>
      <c r="F43" s="17">
        <v>2050</v>
      </c>
    </row>
    <row r="44" spans="2:12" ht="74.25" customHeight="1">
      <c r="B44" s="345"/>
      <c r="C44" s="20">
        <f>C39-I39</f>
        <v>11</v>
      </c>
      <c r="D44" s="20">
        <f>D39-J39</f>
        <v>41</v>
      </c>
      <c r="E44" s="20">
        <f>E39-K39</f>
        <v>67</v>
      </c>
      <c r="F44" s="20">
        <f>F39-L39</f>
        <v>98</v>
      </c>
    </row>
  </sheetData>
  <mergeCells count="10">
    <mergeCell ref="T4:X4"/>
    <mergeCell ref="B18:F18"/>
    <mergeCell ref="H18:L18"/>
    <mergeCell ref="N18:R18"/>
    <mergeCell ref="T18:X18"/>
    <mergeCell ref="B2:R2"/>
    <mergeCell ref="B43:B44"/>
    <mergeCell ref="B4:F4"/>
    <mergeCell ref="H4:L4"/>
    <mergeCell ref="N4:R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B1:AR73"/>
  <sheetViews>
    <sheetView zoomScale="80" zoomScaleNormal="80" workbookViewId="0">
      <selection activeCell="E35" sqref="E35:AR35"/>
    </sheetView>
  </sheetViews>
  <sheetFormatPr defaultRowHeight="15"/>
  <cols>
    <col min="1" max="1" width="7.42578125" customWidth="1"/>
    <col min="2" max="2" width="8.28515625" style="58" customWidth="1"/>
    <col min="3" max="3" width="15.28515625" customWidth="1"/>
    <col min="4" max="4" width="15.28515625" style="55" customWidth="1"/>
    <col min="6" max="6" width="12" customWidth="1"/>
    <col min="7" max="7" width="14.28515625" customWidth="1"/>
    <col min="8" max="8" width="12.140625" customWidth="1"/>
    <col min="9" max="9" width="11.140625" customWidth="1"/>
    <col min="11" max="15" width="11.42578125" customWidth="1"/>
  </cols>
  <sheetData>
    <row r="1" spans="2:44" s="58" customFormat="1" ht="15.75" thickBot="1"/>
    <row r="2" spans="2:44" s="58" customFormat="1" ht="94.5" customHeight="1" thickBot="1">
      <c r="B2" s="298" t="s">
        <v>212</v>
      </c>
      <c r="C2" s="355"/>
      <c r="D2" s="355"/>
      <c r="E2" s="355"/>
      <c r="F2" s="355"/>
      <c r="G2" s="355"/>
      <c r="H2" s="355"/>
      <c r="I2" s="355"/>
      <c r="J2" s="355"/>
      <c r="K2" s="355"/>
      <c r="L2" s="355"/>
      <c r="M2" s="355"/>
      <c r="N2" s="355"/>
      <c r="O2" s="355"/>
      <c r="P2" s="355"/>
      <c r="Q2" s="355"/>
      <c r="R2" s="355"/>
      <c r="S2" s="355"/>
      <c r="T2" s="355"/>
      <c r="U2" s="355"/>
      <c r="V2" s="355"/>
      <c r="W2" s="355"/>
      <c r="X2" s="355"/>
      <c r="Y2" s="355"/>
      <c r="Z2" s="355"/>
      <c r="AA2" s="356"/>
    </row>
    <row r="4" spans="2:44" s="21" customFormat="1" ht="28.5" customHeight="1">
      <c r="E4" s="378" t="s">
        <v>49</v>
      </c>
      <c r="F4" s="379"/>
      <c r="G4" s="379"/>
      <c r="H4" s="379"/>
      <c r="I4" s="379"/>
      <c r="J4" s="379"/>
      <c r="K4" s="379"/>
      <c r="L4" s="380"/>
      <c r="M4" s="381" t="s">
        <v>51</v>
      </c>
      <c r="N4" s="382"/>
      <c r="O4" s="382"/>
      <c r="P4" s="382"/>
      <c r="Q4" s="382"/>
      <c r="R4" s="382"/>
      <c r="S4" s="382"/>
      <c r="T4" s="383"/>
      <c r="U4" s="363" t="s">
        <v>52</v>
      </c>
      <c r="V4" s="364"/>
      <c r="W4" s="364"/>
      <c r="X4" s="364"/>
      <c r="Y4" s="364"/>
      <c r="Z4" s="364"/>
      <c r="AA4" s="364"/>
      <c r="AB4" s="365"/>
      <c r="AC4" s="366" t="s">
        <v>53</v>
      </c>
      <c r="AD4" s="367"/>
      <c r="AE4" s="367"/>
      <c r="AF4" s="367"/>
      <c r="AG4" s="367"/>
      <c r="AH4" s="367"/>
      <c r="AI4" s="367"/>
      <c r="AJ4" s="368"/>
      <c r="AK4" s="357" t="s">
        <v>54</v>
      </c>
      <c r="AL4" s="358"/>
      <c r="AM4" s="358"/>
      <c r="AN4" s="358"/>
      <c r="AO4" s="358"/>
      <c r="AP4" s="358"/>
      <c r="AQ4" s="358"/>
      <c r="AR4" s="359"/>
    </row>
    <row r="5" spans="2:44" s="21" customFormat="1" ht="33.75" customHeight="1">
      <c r="D5" s="52" t="s">
        <v>82</v>
      </c>
      <c r="E5" s="375" t="s">
        <v>47</v>
      </c>
      <c r="F5" s="376"/>
      <c r="G5" s="376"/>
      <c r="H5" s="377"/>
      <c r="I5" s="376" t="s">
        <v>48</v>
      </c>
      <c r="J5" s="376"/>
      <c r="K5" s="376"/>
      <c r="L5" s="377"/>
      <c r="M5" s="384" t="s">
        <v>47</v>
      </c>
      <c r="N5" s="385"/>
      <c r="O5" s="385"/>
      <c r="P5" s="386"/>
      <c r="Q5" s="385" t="s">
        <v>48</v>
      </c>
      <c r="R5" s="385"/>
      <c r="S5" s="385"/>
      <c r="T5" s="386"/>
      <c r="U5" s="369" t="s">
        <v>47</v>
      </c>
      <c r="V5" s="370"/>
      <c r="W5" s="370"/>
      <c r="X5" s="371"/>
      <c r="Y5" s="370" t="s">
        <v>48</v>
      </c>
      <c r="Z5" s="370"/>
      <c r="AA5" s="370"/>
      <c r="AB5" s="371"/>
      <c r="AC5" s="372" t="s">
        <v>47</v>
      </c>
      <c r="AD5" s="373"/>
      <c r="AE5" s="373"/>
      <c r="AF5" s="374"/>
      <c r="AG5" s="373" t="s">
        <v>48</v>
      </c>
      <c r="AH5" s="373"/>
      <c r="AI5" s="373"/>
      <c r="AJ5" s="374"/>
      <c r="AK5" s="360" t="s">
        <v>47</v>
      </c>
      <c r="AL5" s="361"/>
      <c r="AM5" s="361"/>
      <c r="AN5" s="362"/>
      <c r="AO5" s="361" t="s">
        <v>48</v>
      </c>
      <c r="AP5" s="361"/>
      <c r="AQ5" s="361"/>
      <c r="AR5" s="362"/>
    </row>
    <row r="6" spans="2:44" s="21" customFormat="1">
      <c r="D6" s="49"/>
      <c r="E6" s="23">
        <v>2015</v>
      </c>
      <c r="F6" s="23">
        <v>2025</v>
      </c>
      <c r="G6" s="23">
        <v>2035</v>
      </c>
      <c r="H6" s="24">
        <v>2050</v>
      </c>
      <c r="I6" s="22">
        <v>2015</v>
      </c>
      <c r="J6" s="23">
        <v>2025</v>
      </c>
      <c r="K6" s="23">
        <v>2035</v>
      </c>
      <c r="L6" s="24">
        <v>2050</v>
      </c>
      <c r="M6" s="32">
        <v>2015</v>
      </c>
      <c r="N6" s="57">
        <v>2025</v>
      </c>
      <c r="O6" s="57">
        <v>2035</v>
      </c>
      <c r="P6" s="44">
        <v>2050</v>
      </c>
      <c r="Q6" s="32">
        <v>2015</v>
      </c>
      <c r="R6" s="57">
        <v>2025</v>
      </c>
      <c r="S6" s="57">
        <v>2035</v>
      </c>
      <c r="T6" s="44">
        <v>2050</v>
      </c>
      <c r="U6" s="25">
        <v>2015</v>
      </c>
      <c r="V6" s="26">
        <v>2025</v>
      </c>
      <c r="W6" s="26">
        <v>2035</v>
      </c>
      <c r="X6" s="27">
        <v>2050</v>
      </c>
      <c r="Y6" s="25">
        <v>2015</v>
      </c>
      <c r="Z6" s="26">
        <v>2025</v>
      </c>
      <c r="AA6" s="26">
        <v>2035</v>
      </c>
      <c r="AB6" s="27">
        <v>2050</v>
      </c>
      <c r="AC6" s="42">
        <v>2015</v>
      </c>
      <c r="AD6" s="37">
        <v>2025</v>
      </c>
      <c r="AE6" s="37">
        <v>2035</v>
      </c>
      <c r="AF6" s="72">
        <v>2050</v>
      </c>
      <c r="AG6" s="42">
        <v>2015</v>
      </c>
      <c r="AH6" s="37">
        <v>2025</v>
      </c>
      <c r="AI6" s="37">
        <v>2035</v>
      </c>
      <c r="AJ6" s="72">
        <v>2050</v>
      </c>
      <c r="AK6" s="28">
        <v>2015</v>
      </c>
      <c r="AL6" s="29">
        <v>2025</v>
      </c>
      <c r="AM6" s="29">
        <v>2035</v>
      </c>
      <c r="AN6" s="30">
        <v>2050</v>
      </c>
      <c r="AO6" s="28">
        <v>2015</v>
      </c>
      <c r="AP6" s="29">
        <v>2025</v>
      </c>
      <c r="AQ6" s="29">
        <v>2035</v>
      </c>
      <c r="AR6" s="30">
        <v>2050</v>
      </c>
    </row>
    <row r="7" spans="2:44" s="21" customFormat="1">
      <c r="B7" s="387" t="s">
        <v>98</v>
      </c>
      <c r="C7" s="70"/>
      <c r="D7" s="49"/>
      <c r="E7" s="43"/>
      <c r="F7" s="38"/>
      <c r="G7" s="38"/>
      <c r="H7" s="31"/>
      <c r="I7" s="43"/>
      <c r="J7" s="38"/>
      <c r="K7" s="38"/>
      <c r="L7" s="38"/>
      <c r="M7" s="32"/>
      <c r="N7" s="57"/>
      <c r="O7" s="57"/>
      <c r="P7" s="44"/>
      <c r="Q7" s="32"/>
      <c r="R7" s="57"/>
      <c r="S7" s="57"/>
      <c r="T7" s="44"/>
      <c r="U7" s="33"/>
      <c r="V7" s="51"/>
      <c r="W7" s="51"/>
      <c r="X7" s="47"/>
      <c r="Y7" s="33"/>
      <c r="Z7" s="51"/>
      <c r="AA7" s="51"/>
      <c r="AB7" s="51"/>
      <c r="AC7" s="42"/>
      <c r="AD7" s="37"/>
      <c r="AE7" s="37"/>
      <c r="AF7" s="72"/>
      <c r="AG7" s="42"/>
      <c r="AH7" s="37"/>
      <c r="AI7" s="37"/>
      <c r="AJ7" s="72"/>
      <c r="AK7" s="73"/>
      <c r="AL7" s="74"/>
      <c r="AM7" s="74"/>
      <c r="AN7" s="75"/>
      <c r="AO7" s="73"/>
      <c r="AP7" s="74"/>
      <c r="AQ7" s="74"/>
      <c r="AR7" s="75"/>
    </row>
    <row r="8" spans="2:44">
      <c r="B8" s="388"/>
      <c r="C8" s="61" t="s">
        <v>50</v>
      </c>
      <c r="D8" s="45">
        <f>SUM(D10:D36)</f>
        <v>0.99999999999999978</v>
      </c>
      <c r="E8" s="60">
        <v>3080</v>
      </c>
      <c r="F8" s="59">
        <v>2779</v>
      </c>
      <c r="G8" s="59">
        <v>2482</v>
      </c>
      <c r="H8" s="64">
        <v>2052</v>
      </c>
      <c r="I8" s="61">
        <v>3035</v>
      </c>
      <c r="J8" s="63">
        <v>2615</v>
      </c>
      <c r="K8" s="63">
        <v>2138</v>
      </c>
      <c r="L8" s="63">
        <v>1477</v>
      </c>
      <c r="M8" s="67">
        <v>1287</v>
      </c>
      <c r="N8" s="18">
        <v>1291</v>
      </c>
      <c r="O8" s="18">
        <v>1268</v>
      </c>
      <c r="P8" s="65">
        <v>1256</v>
      </c>
      <c r="Q8" s="67">
        <v>1276.5</v>
      </c>
      <c r="R8" s="18">
        <v>1222.3</v>
      </c>
      <c r="S8" s="18">
        <v>1139.5</v>
      </c>
      <c r="T8" s="65">
        <v>1028.0999999999999</v>
      </c>
      <c r="U8" s="61">
        <v>2466</v>
      </c>
      <c r="V8" s="63">
        <v>2027</v>
      </c>
      <c r="W8" s="63">
        <v>1761</v>
      </c>
      <c r="X8" s="71">
        <v>1541</v>
      </c>
      <c r="Y8" s="61">
        <v>2470</v>
      </c>
      <c r="Z8" s="63">
        <v>1972</v>
      </c>
      <c r="AA8" s="63">
        <v>1201</v>
      </c>
      <c r="AB8" s="63">
        <v>496</v>
      </c>
      <c r="AC8" s="67">
        <v>626</v>
      </c>
      <c r="AD8" s="18">
        <v>697</v>
      </c>
      <c r="AE8" s="18">
        <v>739</v>
      </c>
      <c r="AF8" s="65">
        <v>743</v>
      </c>
      <c r="AG8" s="67">
        <v>604</v>
      </c>
      <c r="AH8" s="18">
        <v>587</v>
      </c>
      <c r="AI8" s="18">
        <v>578</v>
      </c>
      <c r="AJ8" s="65">
        <v>576</v>
      </c>
      <c r="AK8" s="61">
        <v>155</v>
      </c>
      <c r="AL8" s="63">
        <v>175</v>
      </c>
      <c r="AM8" s="63">
        <v>193</v>
      </c>
      <c r="AN8" s="71">
        <v>214</v>
      </c>
      <c r="AO8" s="61">
        <v>144</v>
      </c>
      <c r="AP8" s="63">
        <v>134</v>
      </c>
      <c r="AQ8" s="63">
        <v>126</v>
      </c>
      <c r="AR8" s="71">
        <v>116</v>
      </c>
    </row>
    <row r="9" spans="2:44">
      <c r="B9" s="388"/>
      <c r="C9" s="60"/>
      <c r="D9" s="62"/>
      <c r="E9" s="35"/>
      <c r="F9" s="48"/>
      <c r="G9" s="48"/>
      <c r="H9" s="53"/>
      <c r="I9" s="56"/>
      <c r="J9" s="46"/>
      <c r="K9" s="46"/>
      <c r="L9" s="41"/>
      <c r="M9" s="56"/>
      <c r="N9" s="46"/>
      <c r="O9" s="46"/>
      <c r="P9" s="41"/>
      <c r="Q9" s="56"/>
      <c r="R9" s="46"/>
      <c r="S9" s="46"/>
      <c r="T9" s="41"/>
      <c r="U9" s="60"/>
      <c r="V9" s="59"/>
      <c r="W9" s="59"/>
      <c r="X9" s="64"/>
      <c r="Y9" s="60"/>
      <c r="Z9" s="59"/>
      <c r="AA9" s="59"/>
      <c r="AB9" s="64"/>
      <c r="AC9" s="60"/>
      <c r="AD9" s="59"/>
      <c r="AE9" s="59"/>
      <c r="AF9" s="64"/>
      <c r="AG9" s="60"/>
      <c r="AH9" s="59"/>
      <c r="AI9" s="59"/>
      <c r="AJ9" s="64"/>
      <c r="AK9" s="60"/>
      <c r="AL9" s="59"/>
      <c r="AM9" s="59"/>
      <c r="AN9" s="64"/>
      <c r="AO9" s="60"/>
      <c r="AP9" s="59"/>
      <c r="AQ9" s="59"/>
      <c r="AR9" s="64"/>
    </row>
    <row r="10" spans="2:44" s="66" customFormat="1">
      <c r="B10" s="388"/>
      <c r="C10" s="136" t="s">
        <v>55</v>
      </c>
      <c r="D10" s="39">
        <v>8.250032738225152E-3</v>
      </c>
      <c r="E10" s="111">
        <f>D10*E8</f>
        <v>25.41010083373347</v>
      </c>
      <c r="F10" s="112">
        <f>D10*F8</f>
        <v>22.926840979527697</v>
      </c>
      <c r="G10" s="112">
        <f>D10*G8</f>
        <v>20.476581256274827</v>
      </c>
      <c r="H10" s="113">
        <f>D10*H8</f>
        <v>16.929067178838011</v>
      </c>
      <c r="I10" s="111">
        <f>D10*3035</f>
        <v>25.038849360513336</v>
      </c>
      <c r="J10" s="112">
        <f>D10*2615</f>
        <v>21.573835610458772</v>
      </c>
      <c r="K10" s="112">
        <f>D10*2138</f>
        <v>17.638569994325376</v>
      </c>
      <c r="L10" s="113">
        <f>D10*1477</f>
        <v>12.185298354358549</v>
      </c>
      <c r="M10" s="111">
        <f>D10*1287</f>
        <v>10.617792134095771</v>
      </c>
      <c r="N10" s="112">
        <f>D10*1291</f>
        <v>10.650792265048672</v>
      </c>
      <c r="O10" s="112">
        <f>D10*1268</f>
        <v>10.461041512069492</v>
      </c>
      <c r="P10" s="113">
        <f>D10*1256</f>
        <v>10.36204111921079</v>
      </c>
      <c r="Q10" s="111">
        <f>D10*1277</f>
        <v>10.53529180671352</v>
      </c>
      <c r="R10" s="112">
        <f>D10*1222</f>
        <v>10.081540006111135</v>
      </c>
      <c r="S10" s="112">
        <f>D10*1140</f>
        <v>9.4050373215766729</v>
      </c>
      <c r="T10" s="113">
        <f>D10*1028</f>
        <v>8.481033654895457</v>
      </c>
      <c r="U10" s="111">
        <f>D10*2466</f>
        <v>20.344580732463225</v>
      </c>
      <c r="V10" s="112">
        <f>D10*2027</f>
        <v>16.722816360382382</v>
      </c>
      <c r="W10" s="112">
        <f>D10*1761</f>
        <v>14.528307652014492</v>
      </c>
      <c r="X10" s="113">
        <f>D10*1541</f>
        <v>12.71330044960496</v>
      </c>
      <c r="Y10" s="111">
        <f>D10*2470</f>
        <v>20.377580863416124</v>
      </c>
      <c r="Z10" s="112">
        <f>D10*1972</f>
        <v>16.269064559779999</v>
      </c>
      <c r="AA10" s="112">
        <f>D10*1201</f>
        <v>9.9082893186084071</v>
      </c>
      <c r="AB10" s="113">
        <f>D10*496</f>
        <v>4.0920162381596752</v>
      </c>
      <c r="AC10" s="111">
        <f>D10*626</f>
        <v>5.1645204941289453</v>
      </c>
      <c r="AD10" s="112">
        <f>D10*697</f>
        <v>5.750272818542931</v>
      </c>
      <c r="AE10" s="112">
        <f>D10*739</f>
        <v>6.096774193548387</v>
      </c>
      <c r="AF10" s="113">
        <f>D10*743</f>
        <v>6.1297743245012883</v>
      </c>
      <c r="AG10" s="111">
        <f>D10*604</f>
        <v>4.9830197738879916</v>
      </c>
      <c r="AH10" s="112">
        <f>D10*587</f>
        <v>4.842769217338164</v>
      </c>
      <c r="AI10" s="112">
        <f>D10*578</f>
        <v>4.7685189226941382</v>
      </c>
      <c r="AJ10" s="113">
        <f>D10*576</f>
        <v>4.7520188572176876</v>
      </c>
      <c r="AK10" s="111">
        <f>D10*155</f>
        <v>1.2787550744248986</v>
      </c>
      <c r="AL10" s="112">
        <f>D10*175</f>
        <v>1.4437557291894016</v>
      </c>
      <c r="AM10" s="112">
        <f>D10*193</f>
        <v>1.5922563184774543</v>
      </c>
      <c r="AN10" s="113">
        <f>D10*214</f>
        <v>1.7655070059801825</v>
      </c>
      <c r="AO10" s="111">
        <f>D10*144</f>
        <v>1.1880047143044219</v>
      </c>
      <c r="AP10" s="112">
        <f>D10*134</f>
        <v>1.1055043869221703</v>
      </c>
      <c r="AQ10" s="112">
        <f>D10*126</f>
        <v>1.0395041250163692</v>
      </c>
      <c r="AR10" s="113">
        <f>D10*116</f>
        <v>0.95700379763411769</v>
      </c>
    </row>
    <row r="11" spans="2:44" s="66" customFormat="1">
      <c r="B11" s="388"/>
      <c r="C11" s="136" t="s">
        <v>56</v>
      </c>
      <c r="D11" s="39">
        <v>0.25843554934741803</v>
      </c>
      <c r="E11" s="111">
        <f>D11*E8</f>
        <v>795.98149199004752</v>
      </c>
      <c r="F11" s="112">
        <f>D11*F8</f>
        <v>718.19239163647467</v>
      </c>
      <c r="G11" s="112">
        <f>D11*G8</f>
        <v>641.43703348029157</v>
      </c>
      <c r="H11" s="113">
        <f>D11*H8</f>
        <v>530.30974726090176</v>
      </c>
      <c r="I11" s="111">
        <f t="shared" ref="I11:I36" si="0">D11*3035</f>
        <v>784.35189226941372</v>
      </c>
      <c r="J11" s="112">
        <f t="shared" ref="J11:J36" si="1">D11*2615</f>
        <v>675.80896154349819</v>
      </c>
      <c r="K11" s="112">
        <f t="shared" ref="K11:K36" si="2">D11*2138</f>
        <v>552.5352045047797</v>
      </c>
      <c r="L11" s="113">
        <f t="shared" ref="L11:L36" si="3">D11*1477</f>
        <v>381.7093063861364</v>
      </c>
      <c r="M11" s="111">
        <f t="shared" ref="M11:M36" si="4">D11*1287</f>
        <v>332.60655201012702</v>
      </c>
      <c r="N11" s="112">
        <f t="shared" ref="N11:N36" si="5">D11*1291</f>
        <v>333.64029420751666</v>
      </c>
      <c r="O11" s="112">
        <f t="shared" ref="O11:O36" si="6">D11*1268</f>
        <v>327.69627657252607</v>
      </c>
      <c r="P11" s="113">
        <f t="shared" ref="P11:P36" si="7">D11*1256</f>
        <v>324.59504998035703</v>
      </c>
      <c r="Q11" s="111">
        <f t="shared" ref="Q11:Q36" si="8">D11*1277</f>
        <v>330.0221965166528</v>
      </c>
      <c r="R11" s="112">
        <f t="shared" ref="R11:R36" si="9">D11*1222</f>
        <v>315.80824130254484</v>
      </c>
      <c r="S11" s="112">
        <f t="shared" ref="S11:S36" si="10">D11*1140</f>
        <v>294.61652625605655</v>
      </c>
      <c r="T11" s="113">
        <f t="shared" ref="T11:T36" si="11">D11*1028</f>
        <v>265.67174472914576</v>
      </c>
      <c r="U11" s="111">
        <f t="shared" ref="U11:U36" si="12">D11*2466</f>
        <v>637.30206469073289</v>
      </c>
      <c r="V11" s="112">
        <f t="shared" ref="V11:V36" si="13">D11*2027</f>
        <v>523.84885852721629</v>
      </c>
      <c r="W11" s="112">
        <f t="shared" ref="W11:W36" si="14">D11*1761</f>
        <v>455.10500240080313</v>
      </c>
      <c r="X11" s="113">
        <f t="shared" ref="X11:X36" si="15">D11*1541</f>
        <v>398.2491815443712</v>
      </c>
      <c r="Y11" s="111">
        <f t="shared" ref="Y11:Y36" si="16">D11*2470</f>
        <v>638.33580688812253</v>
      </c>
      <c r="Z11" s="112">
        <f t="shared" ref="Z11:Z36" si="17">D11*1972</f>
        <v>509.63490331310834</v>
      </c>
      <c r="AA11" s="112">
        <f t="shared" ref="AA11:AA36" si="18">D11*1201</f>
        <v>310.38109476624902</v>
      </c>
      <c r="AB11" s="113">
        <f t="shared" ref="AB11:AB36" si="19">D11*496</f>
        <v>128.18403247631935</v>
      </c>
      <c r="AC11" s="111">
        <f t="shared" ref="AC11:AC36" si="20">D11*626</f>
        <v>161.78065389148369</v>
      </c>
      <c r="AD11" s="112">
        <f t="shared" ref="AD11:AD36" si="21">D11*697</f>
        <v>180.12957789515036</v>
      </c>
      <c r="AE11" s="112">
        <f t="shared" ref="AE11:AE36" si="22">D11*739</f>
        <v>190.98387096774192</v>
      </c>
      <c r="AF11" s="113">
        <f t="shared" ref="AF11:AF36" si="23">D11*743</f>
        <v>192.01761316513159</v>
      </c>
      <c r="AG11" s="111">
        <f t="shared" ref="AG11:AG36" si="24">D11*604</f>
        <v>156.09507180584049</v>
      </c>
      <c r="AH11" s="112">
        <f t="shared" ref="AH11:AH36" si="25">D11*587</f>
        <v>151.70166746693437</v>
      </c>
      <c r="AI11" s="112">
        <f t="shared" ref="AI11:AI36" si="26">D11*578</f>
        <v>149.37574752280761</v>
      </c>
      <c r="AJ11" s="113">
        <f t="shared" ref="AJ11:AJ36" si="27">D11*576</f>
        <v>148.85887642411279</v>
      </c>
      <c r="AK11" s="111">
        <f t="shared" ref="AK11:AK36" si="28">D11*155</f>
        <v>40.057510148849794</v>
      </c>
      <c r="AL11" s="112">
        <f t="shared" ref="AL11:AL36" si="29">D11*175</f>
        <v>45.226221135798156</v>
      </c>
      <c r="AM11" s="112">
        <f t="shared" ref="AM11:AM36" si="30">D11*193</f>
        <v>49.878061024051682</v>
      </c>
      <c r="AN11" s="113">
        <f t="shared" ref="AN11:AN36" si="31">D11*214</f>
        <v>55.305207560347455</v>
      </c>
      <c r="AO11" s="111">
        <f t="shared" ref="AO11:AO36" si="32">D11*144</f>
        <v>37.214719106028198</v>
      </c>
      <c r="AP11" s="112">
        <f t="shared" ref="AP11:AP36" si="33">D11*134</f>
        <v>34.630363612554014</v>
      </c>
      <c r="AQ11" s="112">
        <f t="shared" ref="AQ11:AQ36" si="34">D11*126</f>
        <v>32.562879217774672</v>
      </c>
      <c r="AR11" s="113">
        <f t="shared" ref="AR11:AR36" si="35">D11*116</f>
        <v>29.978523724300491</v>
      </c>
    </row>
    <row r="12" spans="2:44" s="66" customFormat="1">
      <c r="B12" s="388"/>
      <c r="C12" s="136" t="s">
        <v>57</v>
      </c>
      <c r="D12" s="39">
        <v>1.4099262298659916E-2</v>
      </c>
      <c r="E12" s="111">
        <f>D12*E8</f>
        <v>43.425727879872539</v>
      </c>
      <c r="F12" s="112">
        <f>D12*F8</f>
        <v>39.181849927975904</v>
      </c>
      <c r="G12" s="112">
        <f>D12*G8</f>
        <v>34.994369025273912</v>
      </c>
      <c r="H12" s="113">
        <f>D12*H8</f>
        <v>28.931686236850148</v>
      </c>
      <c r="I12" s="111">
        <f t="shared" si="0"/>
        <v>42.791261076432846</v>
      </c>
      <c r="J12" s="112">
        <f t="shared" si="1"/>
        <v>36.869570910995677</v>
      </c>
      <c r="K12" s="112">
        <f t="shared" si="2"/>
        <v>30.144222794534901</v>
      </c>
      <c r="L12" s="113">
        <f t="shared" si="3"/>
        <v>20.824610415120695</v>
      </c>
      <c r="M12" s="111">
        <f t="shared" si="4"/>
        <v>18.14575057837531</v>
      </c>
      <c r="N12" s="112">
        <f t="shared" si="5"/>
        <v>18.20214762756995</v>
      </c>
      <c r="O12" s="112">
        <f t="shared" si="6"/>
        <v>17.877864594700775</v>
      </c>
      <c r="P12" s="113">
        <f t="shared" si="7"/>
        <v>17.708673447116855</v>
      </c>
      <c r="Q12" s="111">
        <f t="shared" si="8"/>
        <v>18.004757955388712</v>
      </c>
      <c r="R12" s="112">
        <f t="shared" si="9"/>
        <v>17.229298528962417</v>
      </c>
      <c r="S12" s="112">
        <f t="shared" si="10"/>
        <v>16.073159020472303</v>
      </c>
      <c r="T12" s="113">
        <f t="shared" si="11"/>
        <v>14.494041643022394</v>
      </c>
      <c r="U12" s="111">
        <f t="shared" si="12"/>
        <v>34.768780828495352</v>
      </c>
      <c r="V12" s="112">
        <f t="shared" si="13"/>
        <v>28.579204679383651</v>
      </c>
      <c r="W12" s="112">
        <f t="shared" si="14"/>
        <v>24.82880090794011</v>
      </c>
      <c r="X12" s="113">
        <f t="shared" si="15"/>
        <v>21.726963202234931</v>
      </c>
      <c r="Y12" s="111">
        <f t="shared" si="16"/>
        <v>34.825177877689995</v>
      </c>
      <c r="Z12" s="112">
        <f t="shared" si="17"/>
        <v>27.803745252957356</v>
      </c>
      <c r="AA12" s="112">
        <f t="shared" si="18"/>
        <v>16.93321402069056</v>
      </c>
      <c r="AB12" s="113">
        <f t="shared" si="19"/>
        <v>6.993234100135318</v>
      </c>
      <c r="AC12" s="111">
        <f t="shared" si="20"/>
        <v>8.8261381989611074</v>
      </c>
      <c r="AD12" s="112">
        <f t="shared" si="21"/>
        <v>9.827185822165962</v>
      </c>
      <c r="AE12" s="112">
        <f t="shared" si="22"/>
        <v>10.419354838709678</v>
      </c>
      <c r="AF12" s="113">
        <f t="shared" si="23"/>
        <v>10.475751887904318</v>
      </c>
      <c r="AG12" s="111">
        <f t="shared" si="24"/>
        <v>8.5159544283905895</v>
      </c>
      <c r="AH12" s="112">
        <f t="shared" si="25"/>
        <v>8.2762669693133706</v>
      </c>
      <c r="AI12" s="112">
        <f t="shared" si="26"/>
        <v>8.1493736086254316</v>
      </c>
      <c r="AJ12" s="113">
        <f t="shared" si="27"/>
        <v>8.1211750840281116</v>
      </c>
      <c r="AK12" s="111">
        <f t="shared" si="28"/>
        <v>2.1853856562922869</v>
      </c>
      <c r="AL12" s="112">
        <f t="shared" si="29"/>
        <v>2.4673709022654853</v>
      </c>
      <c r="AM12" s="112">
        <f t="shared" si="30"/>
        <v>2.7211576236413637</v>
      </c>
      <c r="AN12" s="113">
        <f t="shared" si="31"/>
        <v>3.0172421319132221</v>
      </c>
      <c r="AO12" s="111">
        <f t="shared" si="32"/>
        <v>2.0302937710070279</v>
      </c>
      <c r="AP12" s="112">
        <f t="shared" si="33"/>
        <v>1.8893011480204287</v>
      </c>
      <c r="AQ12" s="112">
        <f t="shared" si="34"/>
        <v>1.7765070496311495</v>
      </c>
      <c r="AR12" s="113">
        <f t="shared" si="35"/>
        <v>1.6355144266445503</v>
      </c>
    </row>
    <row r="13" spans="2:44" s="66" customFormat="1">
      <c r="B13" s="388"/>
      <c r="C13" s="136" t="s">
        <v>58</v>
      </c>
      <c r="D13" s="39">
        <v>2.9180671351870444E-2</v>
      </c>
      <c r="E13" s="111">
        <f>D13*E8</f>
        <v>89.876467763760971</v>
      </c>
      <c r="F13" s="112">
        <f>D13*F8</f>
        <v>81.093085686847971</v>
      </c>
      <c r="G13" s="112">
        <f>D13*G8</f>
        <v>72.426426295342438</v>
      </c>
      <c r="H13" s="113">
        <f>D13*H8</f>
        <v>59.878737614038151</v>
      </c>
      <c r="I13" s="111">
        <f t="shared" si="0"/>
        <v>88.563337552926797</v>
      </c>
      <c r="J13" s="112">
        <f t="shared" si="1"/>
        <v>76.307455585141213</v>
      </c>
      <c r="K13" s="112">
        <f t="shared" si="2"/>
        <v>62.388275350299011</v>
      </c>
      <c r="L13" s="113">
        <f t="shared" si="3"/>
        <v>43.099851586712646</v>
      </c>
      <c r="M13" s="111">
        <f t="shared" si="4"/>
        <v>37.55552402985726</v>
      </c>
      <c r="N13" s="112">
        <f t="shared" si="5"/>
        <v>37.672246715264741</v>
      </c>
      <c r="O13" s="112">
        <f t="shared" si="6"/>
        <v>37.001091274171721</v>
      </c>
      <c r="P13" s="113">
        <f t="shared" si="7"/>
        <v>36.650923217949277</v>
      </c>
      <c r="Q13" s="111">
        <f t="shared" si="8"/>
        <v>37.263717316338557</v>
      </c>
      <c r="R13" s="112">
        <f t="shared" si="9"/>
        <v>35.65878039198568</v>
      </c>
      <c r="S13" s="112">
        <f t="shared" si="10"/>
        <v>33.265965341132308</v>
      </c>
      <c r="T13" s="113">
        <f t="shared" si="11"/>
        <v>29.997730149722816</v>
      </c>
      <c r="U13" s="111">
        <f t="shared" si="12"/>
        <v>71.959535553712513</v>
      </c>
      <c r="V13" s="112">
        <f t="shared" si="13"/>
        <v>59.14922083024139</v>
      </c>
      <c r="W13" s="112">
        <f t="shared" si="14"/>
        <v>51.387162250643854</v>
      </c>
      <c r="X13" s="113">
        <f t="shared" si="15"/>
        <v>44.967414553232352</v>
      </c>
      <c r="Y13" s="111">
        <f t="shared" si="16"/>
        <v>72.076258239119994</v>
      </c>
      <c r="Z13" s="112">
        <f t="shared" si="17"/>
        <v>57.544283905888513</v>
      </c>
      <c r="AA13" s="112">
        <f t="shared" si="18"/>
        <v>35.045986293596407</v>
      </c>
      <c r="AB13" s="113">
        <f t="shared" si="19"/>
        <v>14.473612990527741</v>
      </c>
      <c r="AC13" s="111">
        <f t="shared" si="20"/>
        <v>18.267100266270898</v>
      </c>
      <c r="AD13" s="112">
        <f t="shared" si="21"/>
        <v>20.3389279322537</v>
      </c>
      <c r="AE13" s="112">
        <f t="shared" si="22"/>
        <v>21.56451612903226</v>
      </c>
      <c r="AF13" s="113">
        <f t="shared" si="23"/>
        <v>21.681238814439741</v>
      </c>
      <c r="AG13" s="111">
        <f t="shared" si="24"/>
        <v>17.625125496529748</v>
      </c>
      <c r="AH13" s="112">
        <f t="shared" si="25"/>
        <v>17.129054083547953</v>
      </c>
      <c r="AI13" s="112">
        <f t="shared" si="26"/>
        <v>16.866428041381116</v>
      </c>
      <c r="AJ13" s="113">
        <f t="shared" si="27"/>
        <v>16.808066698677376</v>
      </c>
      <c r="AK13" s="111">
        <f t="shared" si="28"/>
        <v>4.523004059539919</v>
      </c>
      <c r="AL13" s="112">
        <f t="shared" si="29"/>
        <v>5.1066174865773277</v>
      </c>
      <c r="AM13" s="112">
        <f t="shared" si="30"/>
        <v>5.6318695709109958</v>
      </c>
      <c r="AN13" s="113">
        <f t="shared" si="31"/>
        <v>6.2446636693002748</v>
      </c>
      <c r="AO13" s="111">
        <f t="shared" si="32"/>
        <v>4.2020166746693439</v>
      </c>
      <c r="AP13" s="112">
        <f t="shared" si="33"/>
        <v>3.9102099611506396</v>
      </c>
      <c r="AQ13" s="112">
        <f t="shared" si="34"/>
        <v>3.6767645903356758</v>
      </c>
      <c r="AR13" s="113">
        <f t="shared" si="35"/>
        <v>3.3849578768169715</v>
      </c>
    </row>
    <row r="14" spans="2:44" s="66" customFormat="1">
      <c r="B14" s="388"/>
      <c r="C14" s="136" t="s">
        <v>59</v>
      </c>
      <c r="D14" s="39">
        <v>4.2319612379414201E-2</v>
      </c>
      <c r="E14" s="111">
        <f>D14*E8</f>
        <v>130.34440612859575</v>
      </c>
      <c r="F14" s="112">
        <f>D14*F8</f>
        <v>117.60620280239206</v>
      </c>
      <c r="G14" s="112">
        <f>D14*G8</f>
        <v>105.03727792570605</v>
      </c>
      <c r="H14" s="113">
        <f>D14*H8</f>
        <v>86.839844602557946</v>
      </c>
      <c r="I14" s="111">
        <f t="shared" si="0"/>
        <v>128.44002357152209</v>
      </c>
      <c r="J14" s="112">
        <f t="shared" si="1"/>
        <v>110.66578637216814</v>
      </c>
      <c r="K14" s="112">
        <f t="shared" si="2"/>
        <v>90.479331267187561</v>
      </c>
      <c r="L14" s="113">
        <f t="shared" si="3"/>
        <v>62.506067484394777</v>
      </c>
      <c r="M14" s="111">
        <f t="shared" si="4"/>
        <v>54.465341132306079</v>
      </c>
      <c r="N14" s="112">
        <f t="shared" si="5"/>
        <v>54.634619581823735</v>
      </c>
      <c r="O14" s="112">
        <f t="shared" si="6"/>
        <v>53.661268497097204</v>
      </c>
      <c r="P14" s="113">
        <f t="shared" si="7"/>
        <v>53.153433148544238</v>
      </c>
      <c r="Q14" s="111">
        <f t="shared" si="8"/>
        <v>54.042145008511937</v>
      </c>
      <c r="R14" s="112">
        <f t="shared" si="9"/>
        <v>51.714566327644157</v>
      </c>
      <c r="S14" s="112">
        <f t="shared" si="10"/>
        <v>48.24435811253219</v>
      </c>
      <c r="T14" s="113">
        <f t="shared" si="11"/>
        <v>43.504561526037797</v>
      </c>
      <c r="U14" s="111">
        <f t="shared" si="12"/>
        <v>104.36016412763541</v>
      </c>
      <c r="V14" s="112">
        <f t="shared" si="13"/>
        <v>85.781854293072584</v>
      </c>
      <c r="W14" s="112">
        <f t="shared" si="14"/>
        <v>74.524837400148414</v>
      </c>
      <c r="X14" s="113">
        <f t="shared" si="15"/>
        <v>65.214522676677291</v>
      </c>
      <c r="Y14" s="111">
        <f t="shared" si="16"/>
        <v>104.52944257715308</v>
      </c>
      <c r="Z14" s="112">
        <f t="shared" si="17"/>
        <v>83.45427561220481</v>
      </c>
      <c r="AA14" s="112">
        <f t="shared" si="18"/>
        <v>50.825854467676457</v>
      </c>
      <c r="AB14" s="113">
        <f t="shared" si="19"/>
        <v>20.990527740189442</v>
      </c>
      <c r="AC14" s="111">
        <f t="shared" si="20"/>
        <v>26.492077349513291</v>
      </c>
      <c r="AD14" s="112">
        <f t="shared" si="21"/>
        <v>29.496769828451697</v>
      </c>
      <c r="AE14" s="112">
        <f t="shared" si="22"/>
        <v>31.274193548387096</v>
      </c>
      <c r="AF14" s="113">
        <f t="shared" si="23"/>
        <v>31.443471997904751</v>
      </c>
      <c r="AG14" s="111">
        <f t="shared" si="24"/>
        <v>25.561045877166176</v>
      </c>
      <c r="AH14" s="112">
        <f t="shared" si="25"/>
        <v>24.841612466716136</v>
      </c>
      <c r="AI14" s="112">
        <f t="shared" si="26"/>
        <v>24.460735955301409</v>
      </c>
      <c r="AJ14" s="113">
        <f t="shared" si="27"/>
        <v>24.376096730542578</v>
      </c>
      <c r="AK14" s="111">
        <f t="shared" si="28"/>
        <v>6.5595399188092012</v>
      </c>
      <c r="AL14" s="112">
        <f t="shared" si="29"/>
        <v>7.4059321663974851</v>
      </c>
      <c r="AM14" s="112">
        <f t="shared" si="30"/>
        <v>8.1676851892269404</v>
      </c>
      <c r="AN14" s="113">
        <f t="shared" si="31"/>
        <v>9.0563970491946382</v>
      </c>
      <c r="AO14" s="111">
        <f t="shared" si="32"/>
        <v>6.0940241826356445</v>
      </c>
      <c r="AP14" s="112">
        <f t="shared" si="33"/>
        <v>5.6708280588415025</v>
      </c>
      <c r="AQ14" s="112">
        <f t="shared" si="34"/>
        <v>5.3322711598061892</v>
      </c>
      <c r="AR14" s="113">
        <f t="shared" si="35"/>
        <v>4.9090750360120472</v>
      </c>
    </row>
    <row r="15" spans="2:44" s="66" customFormat="1">
      <c r="B15" s="388"/>
      <c r="C15" s="136" t="s">
        <v>60</v>
      </c>
      <c r="D15" s="39">
        <v>1.4601248417652452E-2</v>
      </c>
      <c r="E15" s="111">
        <f>D15*E8</f>
        <v>44.971845126369551</v>
      </c>
      <c r="F15" s="112">
        <f>D15*F8</f>
        <v>40.576869352656161</v>
      </c>
      <c r="G15" s="112">
        <f>D15*G8</f>
        <v>36.240298572613383</v>
      </c>
      <c r="H15" s="113">
        <f>D15*H8</f>
        <v>29.961761753022831</v>
      </c>
      <c r="I15" s="111">
        <f t="shared" si="0"/>
        <v>44.314788947575188</v>
      </c>
      <c r="J15" s="112">
        <f t="shared" si="1"/>
        <v>38.182264612161163</v>
      </c>
      <c r="K15" s="112">
        <f t="shared" si="2"/>
        <v>31.21746911694094</v>
      </c>
      <c r="L15" s="113">
        <f t="shared" si="3"/>
        <v>21.566043912872672</v>
      </c>
      <c r="M15" s="111">
        <f t="shared" si="4"/>
        <v>18.791806713518707</v>
      </c>
      <c r="N15" s="112">
        <f t="shared" si="5"/>
        <v>18.850211707189313</v>
      </c>
      <c r="O15" s="112">
        <f t="shared" si="6"/>
        <v>18.514382993583308</v>
      </c>
      <c r="P15" s="113">
        <f t="shared" si="7"/>
        <v>18.339168012571481</v>
      </c>
      <c r="Q15" s="111">
        <f t="shared" si="8"/>
        <v>18.645794229342179</v>
      </c>
      <c r="R15" s="112">
        <f t="shared" si="9"/>
        <v>17.842725566371296</v>
      </c>
      <c r="S15" s="112">
        <f t="shared" si="10"/>
        <v>16.645423196123794</v>
      </c>
      <c r="T15" s="113">
        <f t="shared" si="11"/>
        <v>15.01008337334672</v>
      </c>
      <c r="U15" s="111">
        <f t="shared" si="12"/>
        <v>36.006678597930943</v>
      </c>
      <c r="V15" s="112">
        <f t="shared" si="13"/>
        <v>29.596730542581518</v>
      </c>
      <c r="W15" s="112">
        <f t="shared" si="14"/>
        <v>25.712798463485967</v>
      </c>
      <c r="X15" s="113">
        <f t="shared" si="15"/>
        <v>22.500523811602427</v>
      </c>
      <c r="Y15" s="111">
        <f t="shared" si="16"/>
        <v>36.065083591601557</v>
      </c>
      <c r="Z15" s="112">
        <f t="shared" si="17"/>
        <v>28.793661879610635</v>
      </c>
      <c r="AA15" s="112">
        <f t="shared" si="18"/>
        <v>17.536099349600594</v>
      </c>
      <c r="AB15" s="113">
        <f t="shared" si="19"/>
        <v>7.2422192151556164</v>
      </c>
      <c r="AC15" s="111">
        <f t="shared" si="20"/>
        <v>9.1403815094504353</v>
      </c>
      <c r="AD15" s="112">
        <f t="shared" si="21"/>
        <v>10.177070147103759</v>
      </c>
      <c r="AE15" s="112">
        <f t="shared" si="22"/>
        <v>10.790322580645162</v>
      </c>
      <c r="AF15" s="113">
        <f t="shared" si="23"/>
        <v>10.848727574315772</v>
      </c>
      <c r="AG15" s="111">
        <f t="shared" si="24"/>
        <v>8.8191540442620813</v>
      </c>
      <c r="AH15" s="112">
        <f t="shared" si="25"/>
        <v>8.5709328211619891</v>
      </c>
      <c r="AI15" s="112">
        <f t="shared" si="26"/>
        <v>8.4395215854031171</v>
      </c>
      <c r="AJ15" s="113">
        <f t="shared" si="27"/>
        <v>8.4103190885678121</v>
      </c>
      <c r="AK15" s="111">
        <f t="shared" si="28"/>
        <v>2.26319350473613</v>
      </c>
      <c r="AL15" s="112">
        <f t="shared" si="29"/>
        <v>2.5552184730891789</v>
      </c>
      <c r="AM15" s="112">
        <f t="shared" si="30"/>
        <v>2.8180409446069232</v>
      </c>
      <c r="AN15" s="113">
        <f t="shared" si="31"/>
        <v>3.1246671613776247</v>
      </c>
      <c r="AO15" s="111">
        <f t="shared" si="32"/>
        <v>2.102579772141953</v>
      </c>
      <c r="AP15" s="112">
        <f t="shared" si="33"/>
        <v>1.9565672879654286</v>
      </c>
      <c r="AQ15" s="112">
        <f t="shared" si="34"/>
        <v>1.8397573006242089</v>
      </c>
      <c r="AR15" s="113">
        <f t="shared" si="35"/>
        <v>1.6937448164476843</v>
      </c>
    </row>
    <row r="16" spans="2:44" s="66" customFormat="1">
      <c r="B16" s="388"/>
      <c r="C16" s="136" t="s">
        <v>61</v>
      </c>
      <c r="D16" s="39">
        <v>4.5680736828320745E-2</v>
      </c>
      <c r="E16" s="111">
        <f>D16*E8</f>
        <v>140.69666943122789</v>
      </c>
      <c r="F16" s="112">
        <f>D16*F8</f>
        <v>126.94676764590335</v>
      </c>
      <c r="G16" s="112">
        <f>D16*G8</f>
        <v>113.37958880789209</v>
      </c>
      <c r="H16" s="113">
        <f>D16*H8</f>
        <v>93.736871971714166</v>
      </c>
      <c r="I16" s="111">
        <f t="shared" si="0"/>
        <v>138.64103627395346</v>
      </c>
      <c r="J16" s="112">
        <f t="shared" si="1"/>
        <v>119.45512680605874</v>
      </c>
      <c r="K16" s="112">
        <f t="shared" si="2"/>
        <v>97.665415338949757</v>
      </c>
      <c r="L16" s="113">
        <f t="shared" si="3"/>
        <v>67.470448295429733</v>
      </c>
      <c r="M16" s="111">
        <f t="shared" si="4"/>
        <v>58.791108298048798</v>
      </c>
      <c r="N16" s="112">
        <f t="shared" si="5"/>
        <v>58.973831245362085</v>
      </c>
      <c r="O16" s="112">
        <f t="shared" si="6"/>
        <v>57.923174298310705</v>
      </c>
      <c r="P16" s="113">
        <f t="shared" si="7"/>
        <v>57.375005456370857</v>
      </c>
      <c r="Q16" s="111">
        <f t="shared" si="8"/>
        <v>58.33430092976559</v>
      </c>
      <c r="R16" s="112">
        <f t="shared" si="9"/>
        <v>55.821860404207953</v>
      </c>
      <c r="S16" s="112">
        <f t="shared" si="10"/>
        <v>52.07603998428565</v>
      </c>
      <c r="T16" s="113">
        <f t="shared" si="11"/>
        <v>46.959797459513723</v>
      </c>
      <c r="U16" s="111">
        <f t="shared" si="12"/>
        <v>112.64869701863896</v>
      </c>
      <c r="V16" s="112">
        <f t="shared" si="13"/>
        <v>92.594853551006153</v>
      </c>
      <c r="W16" s="112">
        <f t="shared" si="14"/>
        <v>80.443777554672835</v>
      </c>
      <c r="X16" s="113">
        <f t="shared" si="15"/>
        <v>70.394015452442261</v>
      </c>
      <c r="Y16" s="111">
        <f t="shared" si="16"/>
        <v>112.83141996595224</v>
      </c>
      <c r="Z16" s="112">
        <f t="shared" si="17"/>
        <v>90.082413025448503</v>
      </c>
      <c r="AA16" s="112">
        <f t="shared" si="18"/>
        <v>54.862564930813214</v>
      </c>
      <c r="AB16" s="113">
        <f t="shared" si="19"/>
        <v>22.657645466847089</v>
      </c>
      <c r="AC16" s="111">
        <f t="shared" si="20"/>
        <v>28.596141254528785</v>
      </c>
      <c r="AD16" s="112">
        <f t="shared" si="21"/>
        <v>31.83947356933956</v>
      </c>
      <c r="AE16" s="112">
        <f t="shared" si="22"/>
        <v>33.758064516129032</v>
      </c>
      <c r="AF16" s="113">
        <f t="shared" si="23"/>
        <v>33.940787463442312</v>
      </c>
      <c r="AG16" s="111">
        <f t="shared" si="24"/>
        <v>27.591165044305729</v>
      </c>
      <c r="AH16" s="112">
        <f t="shared" si="25"/>
        <v>26.814592518224277</v>
      </c>
      <c r="AI16" s="112">
        <f t="shared" si="26"/>
        <v>26.403465886769389</v>
      </c>
      <c r="AJ16" s="113">
        <f t="shared" si="27"/>
        <v>26.312104413112749</v>
      </c>
      <c r="AK16" s="111">
        <f t="shared" si="28"/>
        <v>7.0805142083897152</v>
      </c>
      <c r="AL16" s="112">
        <f t="shared" si="29"/>
        <v>7.9941289449561301</v>
      </c>
      <c r="AM16" s="112">
        <f t="shared" si="30"/>
        <v>8.8163822078659031</v>
      </c>
      <c r="AN16" s="113">
        <f t="shared" si="31"/>
        <v>9.775677681260639</v>
      </c>
      <c r="AO16" s="111">
        <f t="shared" si="32"/>
        <v>6.5780261032781873</v>
      </c>
      <c r="AP16" s="112">
        <f t="shared" si="33"/>
        <v>6.1212187349949794</v>
      </c>
      <c r="AQ16" s="112">
        <f t="shared" si="34"/>
        <v>5.7557728403684134</v>
      </c>
      <c r="AR16" s="113">
        <f t="shared" si="35"/>
        <v>5.2989654720852064</v>
      </c>
    </row>
    <row r="17" spans="2:44" s="66" customFormat="1">
      <c r="B17" s="388"/>
      <c r="C17" s="136" t="s">
        <v>62</v>
      </c>
      <c r="D17" s="39">
        <v>1.6849273211401634E-2</v>
      </c>
      <c r="E17" s="111">
        <f>D17*E8</f>
        <v>51.895761491117035</v>
      </c>
      <c r="F17" s="112">
        <f>D17*F8</f>
        <v>46.824130254485141</v>
      </c>
      <c r="G17" s="112">
        <f>D17*G8</f>
        <v>41.819896110698856</v>
      </c>
      <c r="H17" s="113">
        <f>D17*H8</f>
        <v>34.574708629796156</v>
      </c>
      <c r="I17" s="111">
        <f t="shared" si="0"/>
        <v>51.137544196603962</v>
      </c>
      <c r="J17" s="112">
        <f t="shared" si="1"/>
        <v>44.060849447815272</v>
      </c>
      <c r="K17" s="112">
        <f t="shared" si="2"/>
        <v>36.023746125976693</v>
      </c>
      <c r="L17" s="113">
        <f t="shared" si="3"/>
        <v>24.886376533240213</v>
      </c>
      <c r="M17" s="111">
        <f t="shared" si="4"/>
        <v>21.685014623073904</v>
      </c>
      <c r="N17" s="112">
        <f t="shared" si="5"/>
        <v>21.752411715919511</v>
      </c>
      <c r="O17" s="112">
        <f t="shared" si="6"/>
        <v>21.364878432057271</v>
      </c>
      <c r="P17" s="113">
        <f t="shared" si="7"/>
        <v>21.162687153520451</v>
      </c>
      <c r="Q17" s="111">
        <f t="shared" si="8"/>
        <v>21.516521890959886</v>
      </c>
      <c r="R17" s="112">
        <f t="shared" si="9"/>
        <v>20.589811864332795</v>
      </c>
      <c r="S17" s="112">
        <f t="shared" si="10"/>
        <v>19.208171460997864</v>
      </c>
      <c r="T17" s="113">
        <f t="shared" si="11"/>
        <v>17.321052861320879</v>
      </c>
      <c r="U17" s="111">
        <f t="shared" si="12"/>
        <v>41.55030773931643</v>
      </c>
      <c r="V17" s="112">
        <f t="shared" si="13"/>
        <v>34.153476799511111</v>
      </c>
      <c r="W17" s="112">
        <f t="shared" si="14"/>
        <v>29.671570125278276</v>
      </c>
      <c r="X17" s="113">
        <f t="shared" si="15"/>
        <v>25.964730018769917</v>
      </c>
      <c r="Y17" s="111">
        <f t="shared" si="16"/>
        <v>41.617704832162033</v>
      </c>
      <c r="Z17" s="112">
        <f t="shared" si="17"/>
        <v>33.226766772884019</v>
      </c>
      <c r="AA17" s="112">
        <f t="shared" si="18"/>
        <v>20.235977126893363</v>
      </c>
      <c r="AB17" s="113">
        <f t="shared" si="19"/>
        <v>8.3572395128552106</v>
      </c>
      <c r="AC17" s="111">
        <f t="shared" si="20"/>
        <v>10.547645030337423</v>
      </c>
      <c r="AD17" s="112">
        <f t="shared" si="21"/>
        <v>11.743943428346938</v>
      </c>
      <c r="AE17" s="112">
        <f t="shared" si="22"/>
        <v>12.451612903225808</v>
      </c>
      <c r="AF17" s="113">
        <f t="shared" si="23"/>
        <v>12.519009996071414</v>
      </c>
      <c r="AG17" s="111">
        <f t="shared" si="24"/>
        <v>10.176961019686587</v>
      </c>
      <c r="AH17" s="112">
        <f t="shared" si="25"/>
        <v>9.8905233750927586</v>
      </c>
      <c r="AI17" s="112">
        <f t="shared" si="26"/>
        <v>9.7388799161901449</v>
      </c>
      <c r="AJ17" s="113">
        <f t="shared" si="27"/>
        <v>9.7051813697673417</v>
      </c>
      <c r="AK17" s="111">
        <f t="shared" si="28"/>
        <v>2.6116373477672532</v>
      </c>
      <c r="AL17" s="112">
        <f t="shared" si="29"/>
        <v>2.948622811995286</v>
      </c>
      <c r="AM17" s="112">
        <f t="shared" si="30"/>
        <v>3.2519097298005155</v>
      </c>
      <c r="AN17" s="113">
        <f t="shared" si="31"/>
        <v>3.6057444672399495</v>
      </c>
      <c r="AO17" s="111">
        <f t="shared" si="32"/>
        <v>2.4262953424418354</v>
      </c>
      <c r="AP17" s="112">
        <f t="shared" si="33"/>
        <v>2.2578026103278188</v>
      </c>
      <c r="AQ17" s="112">
        <f t="shared" si="34"/>
        <v>2.1230084246366059</v>
      </c>
      <c r="AR17" s="113">
        <f t="shared" si="35"/>
        <v>1.9545156925225895</v>
      </c>
    </row>
    <row r="18" spans="2:44" s="66" customFormat="1">
      <c r="B18" s="388"/>
      <c r="C18" s="136" t="s">
        <v>63</v>
      </c>
      <c r="D18" s="39">
        <v>1.994849185909468E-2</v>
      </c>
      <c r="E18" s="111">
        <f>D18*E8</f>
        <v>61.441354926011613</v>
      </c>
      <c r="F18" s="112">
        <f>D18*F8</f>
        <v>55.436858876424111</v>
      </c>
      <c r="G18" s="112">
        <f>D18*G8</f>
        <v>49.512156794272997</v>
      </c>
      <c r="H18" s="113">
        <f>D18*H8</f>
        <v>40.934305294862284</v>
      </c>
      <c r="I18" s="111">
        <f t="shared" si="0"/>
        <v>60.543672792352353</v>
      </c>
      <c r="J18" s="112">
        <f t="shared" si="1"/>
        <v>52.165306211532588</v>
      </c>
      <c r="K18" s="112">
        <f t="shared" si="2"/>
        <v>42.649875594744422</v>
      </c>
      <c r="L18" s="113">
        <f t="shared" si="3"/>
        <v>29.463922475882843</v>
      </c>
      <c r="M18" s="111">
        <f t="shared" si="4"/>
        <v>25.673709022654851</v>
      </c>
      <c r="N18" s="112">
        <f t="shared" si="5"/>
        <v>25.753502990091231</v>
      </c>
      <c r="O18" s="112">
        <f t="shared" si="6"/>
        <v>25.294687677332053</v>
      </c>
      <c r="P18" s="113">
        <f t="shared" si="7"/>
        <v>25.055305775022916</v>
      </c>
      <c r="Q18" s="111">
        <f t="shared" si="8"/>
        <v>25.474224104063907</v>
      </c>
      <c r="R18" s="112">
        <f t="shared" si="9"/>
        <v>24.377057051813697</v>
      </c>
      <c r="S18" s="112">
        <f t="shared" si="10"/>
        <v>22.741280719367936</v>
      </c>
      <c r="T18" s="113">
        <f t="shared" si="11"/>
        <v>20.507049631149332</v>
      </c>
      <c r="U18" s="111">
        <f t="shared" si="12"/>
        <v>49.192980924527483</v>
      </c>
      <c r="V18" s="112">
        <f t="shared" si="13"/>
        <v>40.435592998384912</v>
      </c>
      <c r="W18" s="112">
        <f t="shared" si="14"/>
        <v>35.12929416386573</v>
      </c>
      <c r="X18" s="113">
        <f t="shared" si="15"/>
        <v>30.7406259548649</v>
      </c>
      <c r="Y18" s="111">
        <f t="shared" si="16"/>
        <v>49.272774891963856</v>
      </c>
      <c r="Z18" s="112">
        <f t="shared" si="17"/>
        <v>39.338425946134706</v>
      </c>
      <c r="AA18" s="112">
        <f t="shared" si="18"/>
        <v>23.958138722772709</v>
      </c>
      <c r="AB18" s="113">
        <f t="shared" si="19"/>
        <v>9.8944519621109617</v>
      </c>
      <c r="AC18" s="111">
        <f t="shared" si="20"/>
        <v>12.487755903793269</v>
      </c>
      <c r="AD18" s="112">
        <f t="shared" si="21"/>
        <v>13.904098825788992</v>
      </c>
      <c r="AE18" s="112">
        <f t="shared" si="22"/>
        <v>14.741935483870968</v>
      </c>
      <c r="AF18" s="113">
        <f t="shared" si="23"/>
        <v>14.821729451307347</v>
      </c>
      <c r="AG18" s="111">
        <f t="shared" si="24"/>
        <v>12.048889082893186</v>
      </c>
      <c r="AH18" s="112">
        <f t="shared" si="25"/>
        <v>11.709764721288577</v>
      </c>
      <c r="AI18" s="112">
        <f t="shared" si="26"/>
        <v>11.530228294556725</v>
      </c>
      <c r="AJ18" s="113">
        <f t="shared" si="27"/>
        <v>11.490331310838535</v>
      </c>
      <c r="AK18" s="111">
        <f t="shared" si="28"/>
        <v>3.0920162381596752</v>
      </c>
      <c r="AL18" s="112">
        <f t="shared" si="29"/>
        <v>3.4909860753415689</v>
      </c>
      <c r="AM18" s="112">
        <f t="shared" si="30"/>
        <v>3.8500589288052733</v>
      </c>
      <c r="AN18" s="113">
        <f t="shared" si="31"/>
        <v>4.2689772578462613</v>
      </c>
      <c r="AO18" s="111">
        <f t="shared" si="32"/>
        <v>2.8725828277096337</v>
      </c>
      <c r="AP18" s="112">
        <f t="shared" si="33"/>
        <v>2.6730979091186873</v>
      </c>
      <c r="AQ18" s="112">
        <f t="shared" si="34"/>
        <v>2.5135099742459297</v>
      </c>
      <c r="AR18" s="113">
        <f t="shared" si="35"/>
        <v>2.3140250556549828</v>
      </c>
    </row>
    <row r="19" spans="2:44" s="66" customFormat="1" ht="15.75" customHeight="1">
      <c r="B19" s="388"/>
      <c r="C19" s="136" t="s">
        <v>64</v>
      </c>
      <c r="D19" s="39">
        <v>3.4484263826443755E-2</v>
      </c>
      <c r="E19" s="111">
        <f>D19*E8</f>
        <v>106.21153258544676</v>
      </c>
      <c r="F19" s="112">
        <f>D19*F8</f>
        <v>95.831769173687192</v>
      </c>
      <c r="G19" s="112">
        <f>D19*G8</f>
        <v>85.589942817233393</v>
      </c>
      <c r="H19" s="113">
        <f>D19*H8</f>
        <v>70.76170937186258</v>
      </c>
      <c r="I19" s="111">
        <f t="shared" si="0"/>
        <v>104.6597407132568</v>
      </c>
      <c r="J19" s="112">
        <f t="shared" si="1"/>
        <v>90.176349906150421</v>
      </c>
      <c r="K19" s="112">
        <f t="shared" si="2"/>
        <v>73.727356060936742</v>
      </c>
      <c r="L19" s="113">
        <f t="shared" si="3"/>
        <v>50.933257671657422</v>
      </c>
      <c r="M19" s="111">
        <f t="shared" si="4"/>
        <v>44.381247544633112</v>
      </c>
      <c r="N19" s="112">
        <f t="shared" si="5"/>
        <v>44.519184599938889</v>
      </c>
      <c r="O19" s="112">
        <f t="shared" si="6"/>
        <v>43.726046531930685</v>
      </c>
      <c r="P19" s="113">
        <f t="shared" si="7"/>
        <v>43.312235366013354</v>
      </c>
      <c r="Q19" s="111">
        <f t="shared" si="8"/>
        <v>44.036404906368674</v>
      </c>
      <c r="R19" s="112">
        <f t="shared" si="9"/>
        <v>42.139770395914269</v>
      </c>
      <c r="S19" s="112">
        <f t="shared" si="10"/>
        <v>39.312060762145883</v>
      </c>
      <c r="T19" s="113">
        <f t="shared" si="11"/>
        <v>35.449823213584182</v>
      </c>
      <c r="U19" s="111">
        <f t="shared" si="12"/>
        <v>85.0381945960103</v>
      </c>
      <c r="V19" s="112">
        <f t="shared" si="13"/>
        <v>69.89960277620149</v>
      </c>
      <c r="W19" s="112">
        <f t="shared" si="14"/>
        <v>60.726788598367449</v>
      </c>
      <c r="X19" s="113">
        <f t="shared" si="15"/>
        <v>53.140250556549823</v>
      </c>
      <c r="Y19" s="111">
        <f t="shared" si="16"/>
        <v>85.176131651316069</v>
      </c>
      <c r="Z19" s="112">
        <f t="shared" si="17"/>
        <v>68.002968265747086</v>
      </c>
      <c r="AA19" s="112">
        <f t="shared" si="18"/>
        <v>41.415600855558949</v>
      </c>
      <c r="AB19" s="113">
        <f t="shared" si="19"/>
        <v>17.104194857916102</v>
      </c>
      <c r="AC19" s="111">
        <f t="shared" si="20"/>
        <v>21.587149155353792</v>
      </c>
      <c r="AD19" s="112">
        <f t="shared" si="21"/>
        <v>24.035531887031297</v>
      </c>
      <c r="AE19" s="112">
        <f t="shared" si="22"/>
        <v>25.483870967741936</v>
      </c>
      <c r="AF19" s="113">
        <f t="shared" si="23"/>
        <v>25.621808023047709</v>
      </c>
      <c r="AG19" s="111">
        <f t="shared" si="24"/>
        <v>20.828495351172027</v>
      </c>
      <c r="AH19" s="112">
        <f t="shared" si="25"/>
        <v>20.242262866122484</v>
      </c>
      <c r="AI19" s="112">
        <f t="shared" si="26"/>
        <v>19.931904491684492</v>
      </c>
      <c r="AJ19" s="113">
        <f t="shared" si="27"/>
        <v>19.862935964031603</v>
      </c>
      <c r="AK19" s="111">
        <f t="shared" si="28"/>
        <v>5.3450608930987817</v>
      </c>
      <c r="AL19" s="112">
        <f t="shared" si="29"/>
        <v>6.034746169627657</v>
      </c>
      <c r="AM19" s="112">
        <f t="shared" si="30"/>
        <v>6.6554629185036447</v>
      </c>
      <c r="AN19" s="113">
        <f t="shared" si="31"/>
        <v>7.3796324588589632</v>
      </c>
      <c r="AO19" s="111">
        <f t="shared" si="32"/>
        <v>4.9657339910079008</v>
      </c>
      <c r="AP19" s="112">
        <f t="shared" si="33"/>
        <v>4.6208913527434632</v>
      </c>
      <c r="AQ19" s="112">
        <f t="shared" si="34"/>
        <v>4.3450172421319131</v>
      </c>
      <c r="AR19" s="113">
        <f t="shared" si="35"/>
        <v>4.0001746038674755</v>
      </c>
    </row>
    <row r="20" spans="2:44" s="66" customFormat="1">
      <c r="B20" s="388"/>
      <c r="C20" s="136" t="s">
        <v>65</v>
      </c>
      <c r="D20" s="39">
        <v>2.5404862717709198E-2</v>
      </c>
      <c r="E20" s="111">
        <f>D20*E8</f>
        <v>78.246977170544326</v>
      </c>
      <c r="F20" s="112">
        <f>D20*F8</f>
        <v>70.600113492513856</v>
      </c>
      <c r="G20" s="112">
        <f>D20*G8</f>
        <v>63.054869265354228</v>
      </c>
      <c r="H20" s="113">
        <f>D20*H8</f>
        <v>52.130778296739273</v>
      </c>
      <c r="I20" s="111">
        <f t="shared" si="0"/>
        <v>77.10375834824741</v>
      </c>
      <c r="J20" s="112">
        <f t="shared" si="1"/>
        <v>66.433716006809547</v>
      </c>
      <c r="K20" s="112">
        <f t="shared" si="2"/>
        <v>54.315596490462262</v>
      </c>
      <c r="L20" s="113">
        <f t="shared" si="3"/>
        <v>37.522982234056485</v>
      </c>
      <c r="M20" s="111">
        <f t="shared" si="4"/>
        <v>32.696058317691737</v>
      </c>
      <c r="N20" s="112">
        <f t="shared" si="5"/>
        <v>32.797677768562572</v>
      </c>
      <c r="O20" s="112">
        <f t="shared" si="6"/>
        <v>32.213365926055261</v>
      </c>
      <c r="P20" s="113">
        <f t="shared" si="7"/>
        <v>31.908507573442751</v>
      </c>
      <c r="Q20" s="111">
        <f t="shared" si="8"/>
        <v>32.442009690514645</v>
      </c>
      <c r="R20" s="112">
        <f t="shared" si="9"/>
        <v>31.044742241040641</v>
      </c>
      <c r="S20" s="112">
        <f t="shared" si="10"/>
        <v>28.961543498188487</v>
      </c>
      <c r="T20" s="113">
        <f t="shared" si="11"/>
        <v>26.116198873805054</v>
      </c>
      <c r="U20" s="111">
        <f t="shared" si="12"/>
        <v>62.648391461870879</v>
      </c>
      <c r="V20" s="112">
        <f t="shared" si="13"/>
        <v>51.495656728796547</v>
      </c>
      <c r="W20" s="112">
        <f t="shared" si="14"/>
        <v>44.737963245885901</v>
      </c>
      <c r="X20" s="113">
        <f t="shared" si="15"/>
        <v>39.148893447989877</v>
      </c>
      <c r="Y20" s="111">
        <f t="shared" si="16"/>
        <v>62.750010912741722</v>
      </c>
      <c r="Z20" s="112">
        <f t="shared" si="17"/>
        <v>50.098389279322539</v>
      </c>
      <c r="AA20" s="112">
        <f t="shared" si="18"/>
        <v>30.511240123968747</v>
      </c>
      <c r="AB20" s="113">
        <f t="shared" si="19"/>
        <v>12.600811907983761</v>
      </c>
      <c r="AC20" s="111">
        <f t="shared" si="20"/>
        <v>15.903444061285958</v>
      </c>
      <c r="AD20" s="112">
        <f t="shared" si="21"/>
        <v>17.707189314243312</v>
      </c>
      <c r="AE20" s="112">
        <f t="shared" si="22"/>
        <v>18.774193548387096</v>
      </c>
      <c r="AF20" s="113">
        <f t="shared" si="23"/>
        <v>18.875812999257935</v>
      </c>
      <c r="AG20" s="111">
        <f t="shared" si="24"/>
        <v>15.344537081496355</v>
      </c>
      <c r="AH20" s="112">
        <f t="shared" si="25"/>
        <v>14.912654415295298</v>
      </c>
      <c r="AI20" s="112">
        <f t="shared" si="26"/>
        <v>14.684010650835916</v>
      </c>
      <c r="AJ20" s="113">
        <f t="shared" si="27"/>
        <v>14.633200925400498</v>
      </c>
      <c r="AK20" s="111">
        <f t="shared" si="28"/>
        <v>3.9377537212449258</v>
      </c>
      <c r="AL20" s="112">
        <f t="shared" si="29"/>
        <v>4.44585097559911</v>
      </c>
      <c r="AM20" s="112">
        <f t="shared" si="30"/>
        <v>4.9031385045178748</v>
      </c>
      <c r="AN20" s="113">
        <f t="shared" si="31"/>
        <v>5.4366406215897687</v>
      </c>
      <c r="AO20" s="111">
        <f t="shared" si="32"/>
        <v>3.6583002313501245</v>
      </c>
      <c r="AP20" s="112">
        <f t="shared" si="33"/>
        <v>3.4042516041730324</v>
      </c>
      <c r="AQ20" s="112">
        <f t="shared" si="34"/>
        <v>3.2010127024313588</v>
      </c>
      <c r="AR20" s="113">
        <f t="shared" si="35"/>
        <v>2.9469640752542672</v>
      </c>
    </row>
    <row r="21" spans="2:44" s="66" customFormat="1">
      <c r="B21" s="388"/>
      <c r="C21" s="136" t="s">
        <v>66</v>
      </c>
      <c r="D21" s="39">
        <v>3.9460474049500198E-2</v>
      </c>
      <c r="E21" s="111">
        <f>D21*E8</f>
        <v>121.53826007246062</v>
      </c>
      <c r="F21" s="112">
        <f>D21*F8</f>
        <v>109.66065738356104</v>
      </c>
      <c r="G21" s="112">
        <f>D21*G8</f>
        <v>97.940896590859495</v>
      </c>
      <c r="H21" s="113">
        <f>D21*H8</f>
        <v>80.972892749574413</v>
      </c>
      <c r="I21" s="111">
        <f t="shared" si="0"/>
        <v>119.7625387402331</v>
      </c>
      <c r="J21" s="112">
        <f t="shared" si="1"/>
        <v>103.18913963944301</v>
      </c>
      <c r="K21" s="112">
        <f t="shared" si="2"/>
        <v>84.366493517831429</v>
      </c>
      <c r="L21" s="113">
        <f t="shared" si="3"/>
        <v>58.28312017111179</v>
      </c>
      <c r="M21" s="111">
        <f t="shared" si="4"/>
        <v>50.785630101706758</v>
      </c>
      <c r="N21" s="112">
        <f t="shared" si="5"/>
        <v>50.943471997904759</v>
      </c>
      <c r="O21" s="112">
        <f t="shared" si="6"/>
        <v>50.035881094766253</v>
      </c>
      <c r="P21" s="113">
        <f t="shared" si="7"/>
        <v>49.562355406172252</v>
      </c>
      <c r="Q21" s="111">
        <f t="shared" si="8"/>
        <v>50.391025361211753</v>
      </c>
      <c r="R21" s="112">
        <f t="shared" si="9"/>
        <v>48.220699288489243</v>
      </c>
      <c r="S21" s="112">
        <f t="shared" si="10"/>
        <v>44.984940416430227</v>
      </c>
      <c r="T21" s="113">
        <f t="shared" si="11"/>
        <v>40.565367322886203</v>
      </c>
      <c r="U21" s="111">
        <f t="shared" si="12"/>
        <v>97.309529006067493</v>
      </c>
      <c r="V21" s="112">
        <f t="shared" si="13"/>
        <v>79.986380898336904</v>
      </c>
      <c r="W21" s="112">
        <f t="shared" si="14"/>
        <v>69.489894801169854</v>
      </c>
      <c r="X21" s="113">
        <f t="shared" si="15"/>
        <v>60.808590510279807</v>
      </c>
      <c r="Y21" s="111">
        <f t="shared" si="16"/>
        <v>97.467370902265486</v>
      </c>
      <c r="Z21" s="112">
        <f t="shared" si="17"/>
        <v>77.816054825614387</v>
      </c>
      <c r="AA21" s="112">
        <f t="shared" si="18"/>
        <v>47.392029333449734</v>
      </c>
      <c r="AB21" s="113">
        <f t="shared" si="19"/>
        <v>19.572395128552099</v>
      </c>
      <c r="AC21" s="111">
        <f t="shared" si="20"/>
        <v>24.702256754987125</v>
      </c>
      <c r="AD21" s="112">
        <f t="shared" si="21"/>
        <v>27.503950412501638</v>
      </c>
      <c r="AE21" s="112">
        <f t="shared" si="22"/>
        <v>29.161290322580648</v>
      </c>
      <c r="AF21" s="113">
        <f t="shared" si="23"/>
        <v>29.319132218778648</v>
      </c>
      <c r="AG21" s="111">
        <f t="shared" si="24"/>
        <v>23.834126325898119</v>
      </c>
      <c r="AH21" s="112">
        <f t="shared" si="25"/>
        <v>23.163298267056618</v>
      </c>
      <c r="AI21" s="112">
        <f t="shared" si="26"/>
        <v>22.808154000611115</v>
      </c>
      <c r="AJ21" s="113">
        <f t="shared" si="27"/>
        <v>22.729233052512114</v>
      </c>
      <c r="AK21" s="111">
        <f t="shared" si="28"/>
        <v>6.1163734776725303</v>
      </c>
      <c r="AL21" s="112">
        <f t="shared" si="29"/>
        <v>6.905582958662535</v>
      </c>
      <c r="AM21" s="112">
        <f t="shared" si="30"/>
        <v>7.6158714915535386</v>
      </c>
      <c r="AN21" s="113">
        <f t="shared" si="31"/>
        <v>8.4445414465930426</v>
      </c>
      <c r="AO21" s="111">
        <f t="shared" si="32"/>
        <v>5.6823082631280286</v>
      </c>
      <c r="AP21" s="112">
        <f t="shared" si="33"/>
        <v>5.2877035226330262</v>
      </c>
      <c r="AQ21" s="112">
        <f t="shared" si="34"/>
        <v>4.972019730237025</v>
      </c>
      <c r="AR21" s="113">
        <f t="shared" si="35"/>
        <v>4.5774149897420227</v>
      </c>
    </row>
    <row r="22" spans="2:44" s="66" customFormat="1">
      <c r="B22" s="388"/>
      <c r="C22" s="136" t="s">
        <v>67</v>
      </c>
      <c r="D22" s="39">
        <v>5.8645073988388842E-2</v>
      </c>
      <c r="E22" s="111">
        <f>D22*E8</f>
        <v>180.62682788423763</v>
      </c>
      <c r="F22" s="112">
        <f>D22*F8</f>
        <v>162.9746606137326</v>
      </c>
      <c r="G22" s="112">
        <f>D22*G8</f>
        <v>145.55707363918111</v>
      </c>
      <c r="H22" s="113">
        <f>D22*H8</f>
        <v>120.3396918241739</v>
      </c>
      <c r="I22" s="111">
        <f t="shared" si="0"/>
        <v>177.98779955476013</v>
      </c>
      <c r="J22" s="112">
        <f t="shared" si="1"/>
        <v>153.35686847963683</v>
      </c>
      <c r="K22" s="112">
        <f t="shared" si="2"/>
        <v>125.38316818717534</v>
      </c>
      <c r="L22" s="113">
        <f t="shared" si="3"/>
        <v>86.618774280850317</v>
      </c>
      <c r="M22" s="111">
        <f t="shared" si="4"/>
        <v>75.476210223056441</v>
      </c>
      <c r="N22" s="112">
        <f t="shared" si="5"/>
        <v>75.71079051900999</v>
      </c>
      <c r="O22" s="112">
        <f t="shared" si="6"/>
        <v>74.361953817277055</v>
      </c>
      <c r="P22" s="113">
        <f t="shared" si="7"/>
        <v>73.658212929416379</v>
      </c>
      <c r="Q22" s="111">
        <f t="shared" si="8"/>
        <v>74.889759483172554</v>
      </c>
      <c r="R22" s="112">
        <f t="shared" si="9"/>
        <v>71.66428041381117</v>
      </c>
      <c r="S22" s="112">
        <f t="shared" si="10"/>
        <v>66.855384346763273</v>
      </c>
      <c r="T22" s="113">
        <f t="shared" si="11"/>
        <v>60.28713606006373</v>
      </c>
      <c r="U22" s="111">
        <f t="shared" si="12"/>
        <v>144.61875245536689</v>
      </c>
      <c r="V22" s="112">
        <f t="shared" si="13"/>
        <v>118.87356497446419</v>
      </c>
      <c r="W22" s="112">
        <f t="shared" si="14"/>
        <v>103.27397529355275</v>
      </c>
      <c r="X22" s="113">
        <f t="shared" si="15"/>
        <v>90.372059016107201</v>
      </c>
      <c r="Y22" s="111">
        <f t="shared" si="16"/>
        <v>144.85333275132044</v>
      </c>
      <c r="Z22" s="112">
        <f t="shared" si="17"/>
        <v>115.6480859051028</v>
      </c>
      <c r="AA22" s="112">
        <f t="shared" si="18"/>
        <v>70.432733860054995</v>
      </c>
      <c r="AB22" s="113">
        <f t="shared" si="19"/>
        <v>29.087956698240866</v>
      </c>
      <c r="AC22" s="111">
        <f t="shared" si="20"/>
        <v>36.711816316731415</v>
      </c>
      <c r="AD22" s="112">
        <f t="shared" si="21"/>
        <v>40.875616569907024</v>
      </c>
      <c r="AE22" s="112">
        <f t="shared" si="22"/>
        <v>43.338709677419352</v>
      </c>
      <c r="AF22" s="113">
        <f t="shared" si="23"/>
        <v>43.573289973372908</v>
      </c>
      <c r="AG22" s="111">
        <f t="shared" si="24"/>
        <v>35.42162468898686</v>
      </c>
      <c r="AH22" s="112">
        <f t="shared" si="25"/>
        <v>34.424658431184248</v>
      </c>
      <c r="AI22" s="112">
        <f t="shared" si="26"/>
        <v>33.896852765288749</v>
      </c>
      <c r="AJ22" s="113">
        <f t="shared" si="27"/>
        <v>33.779562617311974</v>
      </c>
      <c r="AK22" s="111">
        <f t="shared" si="28"/>
        <v>9.0899864682002711</v>
      </c>
      <c r="AL22" s="112">
        <f t="shared" si="29"/>
        <v>10.262887947968048</v>
      </c>
      <c r="AM22" s="112">
        <f t="shared" si="30"/>
        <v>11.318499279759047</v>
      </c>
      <c r="AN22" s="113">
        <f t="shared" si="31"/>
        <v>12.550045833515211</v>
      </c>
      <c r="AO22" s="111">
        <f t="shared" si="32"/>
        <v>8.4448906543279936</v>
      </c>
      <c r="AP22" s="112">
        <f t="shared" si="33"/>
        <v>7.8584399144441051</v>
      </c>
      <c r="AQ22" s="112">
        <f t="shared" si="34"/>
        <v>7.3892793225369937</v>
      </c>
      <c r="AR22" s="113">
        <f t="shared" si="35"/>
        <v>6.8028285826531061</v>
      </c>
    </row>
    <row r="23" spans="2:44" s="66" customFormat="1">
      <c r="B23" s="388"/>
      <c r="C23" s="136" t="s">
        <v>68</v>
      </c>
      <c r="D23" s="39">
        <v>1.6652843860491508E-2</v>
      </c>
      <c r="E23" s="111">
        <f>D23*3080</f>
        <v>51.290759090313848</v>
      </c>
      <c r="F23" s="112">
        <f>D23*2779</f>
        <v>46.278253088305902</v>
      </c>
      <c r="G23" s="112">
        <f>D23*2482</f>
        <v>41.332358461739922</v>
      </c>
      <c r="H23" s="113">
        <f>D23*2052</f>
        <v>34.171635601728575</v>
      </c>
      <c r="I23" s="111">
        <f t="shared" si="0"/>
        <v>50.541381116591729</v>
      </c>
      <c r="J23" s="112">
        <f t="shared" si="1"/>
        <v>43.547186695185296</v>
      </c>
      <c r="K23" s="112">
        <f t="shared" si="2"/>
        <v>35.603780173730847</v>
      </c>
      <c r="L23" s="113">
        <f t="shared" si="3"/>
        <v>24.596250381945957</v>
      </c>
      <c r="M23" s="111">
        <f t="shared" si="4"/>
        <v>21.432210048452571</v>
      </c>
      <c r="N23" s="112">
        <f t="shared" si="5"/>
        <v>21.498821423894537</v>
      </c>
      <c r="O23" s="112">
        <f t="shared" si="6"/>
        <v>21.115806015103232</v>
      </c>
      <c r="P23" s="113">
        <f t="shared" si="7"/>
        <v>20.915971888777335</v>
      </c>
      <c r="Q23" s="111">
        <f t="shared" si="8"/>
        <v>21.265681609847658</v>
      </c>
      <c r="R23" s="112">
        <f t="shared" si="9"/>
        <v>20.349775197520625</v>
      </c>
      <c r="S23" s="112">
        <f t="shared" si="10"/>
        <v>18.984242000960318</v>
      </c>
      <c r="T23" s="113">
        <f t="shared" si="11"/>
        <v>17.11912348858527</v>
      </c>
      <c r="U23" s="111">
        <f t="shared" si="12"/>
        <v>41.06591295997206</v>
      </c>
      <c r="V23" s="112">
        <f t="shared" si="13"/>
        <v>33.75531450521629</v>
      </c>
      <c r="W23" s="112">
        <f t="shared" si="14"/>
        <v>29.325658038325546</v>
      </c>
      <c r="X23" s="113">
        <f t="shared" si="15"/>
        <v>25.662032389017416</v>
      </c>
      <c r="Y23" s="111">
        <f t="shared" si="16"/>
        <v>41.132524335414026</v>
      </c>
      <c r="Z23" s="112">
        <f t="shared" si="17"/>
        <v>32.839408092889258</v>
      </c>
      <c r="AA23" s="112">
        <f t="shared" si="18"/>
        <v>20.000065476450303</v>
      </c>
      <c r="AB23" s="113">
        <f t="shared" si="19"/>
        <v>8.2598105548037886</v>
      </c>
      <c r="AC23" s="111">
        <f t="shared" si="20"/>
        <v>10.424680256667685</v>
      </c>
      <c r="AD23" s="112">
        <f t="shared" si="21"/>
        <v>11.607032170762581</v>
      </c>
      <c r="AE23" s="112">
        <f t="shared" si="22"/>
        <v>12.306451612903224</v>
      </c>
      <c r="AF23" s="113">
        <f t="shared" si="23"/>
        <v>12.373062988345191</v>
      </c>
      <c r="AG23" s="111">
        <f t="shared" si="24"/>
        <v>10.058317691736871</v>
      </c>
      <c r="AH23" s="112">
        <f t="shared" si="25"/>
        <v>9.7752193461085159</v>
      </c>
      <c r="AI23" s="112">
        <f t="shared" si="26"/>
        <v>9.6253437513640918</v>
      </c>
      <c r="AJ23" s="113">
        <f t="shared" si="27"/>
        <v>9.5920380636431091</v>
      </c>
      <c r="AK23" s="111">
        <f t="shared" si="28"/>
        <v>2.5811907983761837</v>
      </c>
      <c r="AL23" s="112">
        <f t="shared" si="29"/>
        <v>2.9142476755860138</v>
      </c>
      <c r="AM23" s="112">
        <f t="shared" si="30"/>
        <v>3.2139988650748612</v>
      </c>
      <c r="AN23" s="113">
        <f t="shared" si="31"/>
        <v>3.5637085861451827</v>
      </c>
      <c r="AO23" s="111">
        <f t="shared" si="32"/>
        <v>2.3980095159107773</v>
      </c>
      <c r="AP23" s="112">
        <f t="shared" si="33"/>
        <v>2.2314810773058622</v>
      </c>
      <c r="AQ23" s="112">
        <f t="shared" si="34"/>
        <v>2.0982583264219299</v>
      </c>
      <c r="AR23" s="113">
        <f t="shared" si="35"/>
        <v>1.931729887817015</v>
      </c>
    </row>
    <row r="24" spans="2:44" s="66" customFormat="1">
      <c r="B24" s="388"/>
      <c r="C24" s="136" t="s">
        <v>69</v>
      </c>
      <c r="D24" s="39">
        <v>0.11272862193897595</v>
      </c>
      <c r="E24" s="111">
        <f>D24*3080</f>
        <v>347.20415557204592</v>
      </c>
      <c r="F24" s="112">
        <f>D24*2779</f>
        <v>313.27284036841417</v>
      </c>
      <c r="G24" s="112">
        <f>D24*2482</f>
        <v>279.79243965253829</v>
      </c>
      <c r="H24" s="113">
        <f>D24*2052</f>
        <v>231.31913221877866</v>
      </c>
      <c r="I24" s="111">
        <f t="shared" si="0"/>
        <v>342.13136758479203</v>
      </c>
      <c r="J24" s="112">
        <f t="shared" si="1"/>
        <v>294.78534637042213</v>
      </c>
      <c r="K24" s="112">
        <f t="shared" si="2"/>
        <v>241.01379370553059</v>
      </c>
      <c r="L24" s="113">
        <f t="shared" si="3"/>
        <v>166.50017460386749</v>
      </c>
      <c r="M24" s="111">
        <f t="shared" si="4"/>
        <v>145.08173643546206</v>
      </c>
      <c r="N24" s="112">
        <f t="shared" si="5"/>
        <v>145.53265092321794</v>
      </c>
      <c r="O24" s="112">
        <f t="shared" si="6"/>
        <v>142.93989261862151</v>
      </c>
      <c r="P24" s="113">
        <f t="shared" si="7"/>
        <v>141.58714915535379</v>
      </c>
      <c r="Q24" s="111">
        <f t="shared" si="8"/>
        <v>143.9544502160723</v>
      </c>
      <c r="R24" s="112">
        <f t="shared" si="9"/>
        <v>137.75437600942863</v>
      </c>
      <c r="S24" s="112">
        <f t="shared" si="10"/>
        <v>128.51062901043258</v>
      </c>
      <c r="T24" s="113">
        <f t="shared" si="11"/>
        <v>115.88502335326729</v>
      </c>
      <c r="U24" s="111">
        <f t="shared" si="12"/>
        <v>277.98878170151471</v>
      </c>
      <c r="V24" s="112">
        <f t="shared" si="13"/>
        <v>228.50091667030426</v>
      </c>
      <c r="W24" s="112">
        <f t="shared" si="14"/>
        <v>198.51510323453667</v>
      </c>
      <c r="X24" s="113">
        <f t="shared" si="15"/>
        <v>173.71480640796196</v>
      </c>
      <c r="Y24" s="111">
        <f t="shared" si="16"/>
        <v>278.43969618927059</v>
      </c>
      <c r="Z24" s="112">
        <f t="shared" si="17"/>
        <v>222.30084246366059</v>
      </c>
      <c r="AA24" s="112">
        <f t="shared" si="18"/>
        <v>135.38707494871011</v>
      </c>
      <c r="AB24" s="113">
        <f t="shared" si="19"/>
        <v>55.913396481732072</v>
      </c>
      <c r="AC24" s="111">
        <f t="shared" si="20"/>
        <v>70.568117333798952</v>
      </c>
      <c r="AD24" s="112">
        <f t="shared" si="21"/>
        <v>78.571849491466239</v>
      </c>
      <c r="AE24" s="112">
        <f t="shared" si="22"/>
        <v>83.306451612903231</v>
      </c>
      <c r="AF24" s="113">
        <f t="shared" si="23"/>
        <v>83.757366100659127</v>
      </c>
      <c r="AG24" s="111">
        <f t="shared" si="24"/>
        <v>68.088087651141478</v>
      </c>
      <c r="AH24" s="112">
        <f t="shared" si="25"/>
        <v>66.171701078178884</v>
      </c>
      <c r="AI24" s="112">
        <f t="shared" si="26"/>
        <v>65.157143480728095</v>
      </c>
      <c r="AJ24" s="113">
        <f t="shared" si="27"/>
        <v>64.931686236850155</v>
      </c>
      <c r="AK24" s="111">
        <f t="shared" si="28"/>
        <v>17.472936400541272</v>
      </c>
      <c r="AL24" s="112">
        <f t="shared" si="29"/>
        <v>19.727508839320791</v>
      </c>
      <c r="AM24" s="112">
        <f t="shared" si="30"/>
        <v>21.756624034222359</v>
      </c>
      <c r="AN24" s="113">
        <f t="shared" si="31"/>
        <v>24.123925094940855</v>
      </c>
      <c r="AO24" s="111">
        <f t="shared" si="32"/>
        <v>16.232921559212539</v>
      </c>
      <c r="AP24" s="112">
        <f t="shared" si="33"/>
        <v>15.105635339822777</v>
      </c>
      <c r="AQ24" s="112">
        <f t="shared" si="34"/>
        <v>14.203806364310971</v>
      </c>
      <c r="AR24" s="113">
        <f t="shared" si="35"/>
        <v>13.076520144921211</v>
      </c>
    </row>
    <row r="25" spans="2:44" s="66" customFormat="1">
      <c r="B25" s="388"/>
      <c r="C25" s="136" t="s">
        <v>70</v>
      </c>
      <c r="D25" s="39">
        <v>1.9424680256667686E-3</v>
      </c>
      <c r="E25" s="111">
        <f t="shared" ref="E25:E35" si="36">D25*3080</f>
        <v>5.9828015190536474</v>
      </c>
      <c r="F25" s="112">
        <f t="shared" ref="F25:F36" si="37">D25*2779</f>
        <v>5.3981186433279502</v>
      </c>
      <c r="G25" s="112">
        <f t="shared" ref="G25:G36" si="38">D25*2482</f>
        <v>4.8212056397049192</v>
      </c>
      <c r="H25" s="113">
        <f t="shared" ref="H25:H36" si="39">D25*2052</f>
        <v>3.9859443886682091</v>
      </c>
      <c r="I25" s="111">
        <f t="shared" si="0"/>
        <v>5.8953904578986425</v>
      </c>
      <c r="J25" s="112">
        <f t="shared" si="1"/>
        <v>5.0795538871185997</v>
      </c>
      <c r="K25" s="112">
        <f t="shared" si="2"/>
        <v>4.1529966388755515</v>
      </c>
      <c r="L25" s="113">
        <f t="shared" si="3"/>
        <v>2.8690252739098172</v>
      </c>
      <c r="M25" s="111">
        <f t="shared" si="4"/>
        <v>2.4999563490331309</v>
      </c>
      <c r="N25" s="112">
        <f t="shared" si="5"/>
        <v>2.507726221135798</v>
      </c>
      <c r="O25" s="112">
        <f t="shared" si="6"/>
        <v>2.4630494565454626</v>
      </c>
      <c r="P25" s="113">
        <f t="shared" si="7"/>
        <v>2.4397398402374613</v>
      </c>
      <c r="Q25" s="111">
        <f t="shared" si="8"/>
        <v>2.4805316687764636</v>
      </c>
      <c r="R25" s="112">
        <f t="shared" si="9"/>
        <v>2.3736959273647913</v>
      </c>
      <c r="S25" s="112">
        <f t="shared" si="10"/>
        <v>2.214413549260116</v>
      </c>
      <c r="T25" s="113">
        <f t="shared" si="11"/>
        <v>1.9968571303854381</v>
      </c>
      <c r="U25" s="111">
        <f t="shared" si="12"/>
        <v>4.7901261512942517</v>
      </c>
      <c r="V25" s="112">
        <f t="shared" si="13"/>
        <v>3.9373826880265397</v>
      </c>
      <c r="W25" s="112">
        <f t="shared" si="14"/>
        <v>3.4206861931991792</v>
      </c>
      <c r="X25" s="113">
        <f t="shared" si="15"/>
        <v>2.9933432275524905</v>
      </c>
      <c r="Y25" s="111">
        <f t="shared" si="16"/>
        <v>4.7978960233969179</v>
      </c>
      <c r="Z25" s="112">
        <f t="shared" si="17"/>
        <v>3.8305469466148674</v>
      </c>
      <c r="AA25" s="112">
        <f t="shared" si="18"/>
        <v>2.332904098825789</v>
      </c>
      <c r="AB25" s="113">
        <f t="shared" si="19"/>
        <v>0.96346414073071718</v>
      </c>
      <c r="AC25" s="111">
        <f t="shared" si="20"/>
        <v>1.2159849840673971</v>
      </c>
      <c r="AD25" s="112">
        <f t="shared" si="21"/>
        <v>1.3539002138897376</v>
      </c>
      <c r="AE25" s="112">
        <f t="shared" si="22"/>
        <v>1.435483870967742</v>
      </c>
      <c r="AF25" s="113">
        <f t="shared" si="23"/>
        <v>1.4432537430704091</v>
      </c>
      <c r="AG25" s="111">
        <f t="shared" si="24"/>
        <v>1.1732506875027282</v>
      </c>
      <c r="AH25" s="112">
        <f t="shared" si="25"/>
        <v>1.1402287310663932</v>
      </c>
      <c r="AI25" s="112">
        <f t="shared" si="26"/>
        <v>1.1227465188353922</v>
      </c>
      <c r="AJ25" s="113">
        <f t="shared" si="27"/>
        <v>1.1188615827840587</v>
      </c>
      <c r="AK25" s="111">
        <f t="shared" si="28"/>
        <v>0.3010825439783491</v>
      </c>
      <c r="AL25" s="112">
        <f t="shared" si="29"/>
        <v>0.33993190449168448</v>
      </c>
      <c r="AM25" s="112">
        <f t="shared" si="30"/>
        <v>0.37489632895368635</v>
      </c>
      <c r="AN25" s="113">
        <f t="shared" si="31"/>
        <v>0.41568815749268845</v>
      </c>
      <c r="AO25" s="111">
        <f t="shared" si="32"/>
        <v>0.27971539569601467</v>
      </c>
      <c r="AP25" s="112">
        <f t="shared" si="33"/>
        <v>0.26029071543934701</v>
      </c>
      <c r="AQ25" s="112">
        <f t="shared" si="34"/>
        <v>0.24475097123401285</v>
      </c>
      <c r="AR25" s="113">
        <f t="shared" si="35"/>
        <v>0.22532629097734516</v>
      </c>
    </row>
    <row r="26" spans="2:44" s="66" customFormat="1">
      <c r="B26" s="388"/>
      <c r="C26" s="136" t="s">
        <v>71</v>
      </c>
      <c r="D26" s="39">
        <v>1.7460386747566458E-4</v>
      </c>
      <c r="E26" s="111">
        <f t="shared" si="36"/>
        <v>0.53777991182504692</v>
      </c>
      <c r="F26" s="112">
        <f t="shared" si="37"/>
        <v>0.48522414771487188</v>
      </c>
      <c r="G26" s="112">
        <f t="shared" si="38"/>
        <v>0.43336679907459946</v>
      </c>
      <c r="H26" s="113">
        <f t="shared" si="39"/>
        <v>0.35828713606006374</v>
      </c>
      <c r="I26" s="111">
        <f t="shared" si="0"/>
        <v>0.52992273778864196</v>
      </c>
      <c r="J26" s="112">
        <f t="shared" si="1"/>
        <v>0.45658911344886288</v>
      </c>
      <c r="K26" s="112">
        <f t="shared" si="2"/>
        <v>0.37330306866297086</v>
      </c>
      <c r="L26" s="113">
        <f t="shared" si="3"/>
        <v>0.25788991226155661</v>
      </c>
      <c r="M26" s="111">
        <f t="shared" si="4"/>
        <v>0.2247151774411803</v>
      </c>
      <c r="N26" s="112">
        <f t="shared" si="5"/>
        <v>0.22541359291108298</v>
      </c>
      <c r="O26" s="112">
        <f t="shared" si="6"/>
        <v>0.22139770395914268</v>
      </c>
      <c r="P26" s="113">
        <f t="shared" si="7"/>
        <v>0.2193024575494347</v>
      </c>
      <c r="Q26" s="111">
        <f t="shared" si="8"/>
        <v>0.22296913876642366</v>
      </c>
      <c r="R26" s="112">
        <f t="shared" si="9"/>
        <v>0.21336592605526211</v>
      </c>
      <c r="S26" s="112">
        <f t="shared" si="10"/>
        <v>0.19904840892225761</v>
      </c>
      <c r="T26" s="113">
        <f t="shared" si="11"/>
        <v>0.17949277576498318</v>
      </c>
      <c r="U26" s="111">
        <f t="shared" si="12"/>
        <v>0.43057313719498885</v>
      </c>
      <c r="V26" s="112">
        <f t="shared" si="13"/>
        <v>0.35392203937317213</v>
      </c>
      <c r="W26" s="112">
        <f t="shared" si="14"/>
        <v>0.30747741062464534</v>
      </c>
      <c r="X26" s="113">
        <f t="shared" si="15"/>
        <v>0.2690645597799991</v>
      </c>
      <c r="Y26" s="111">
        <f t="shared" si="16"/>
        <v>0.43127155266489153</v>
      </c>
      <c r="Z26" s="112">
        <f t="shared" si="17"/>
        <v>0.34431882666201052</v>
      </c>
      <c r="AA26" s="112">
        <f t="shared" si="18"/>
        <v>0.20969924483827315</v>
      </c>
      <c r="AB26" s="113">
        <f t="shared" si="19"/>
        <v>8.6603518267929627E-2</v>
      </c>
      <c r="AC26" s="111">
        <f t="shared" si="20"/>
        <v>0.10930202103976602</v>
      </c>
      <c r="AD26" s="112">
        <f t="shared" si="21"/>
        <v>0.12169889563053821</v>
      </c>
      <c r="AE26" s="112">
        <f t="shared" si="22"/>
        <v>0.12903225806451613</v>
      </c>
      <c r="AF26" s="113">
        <f t="shared" si="23"/>
        <v>0.12973067353441878</v>
      </c>
      <c r="AG26" s="111">
        <f t="shared" si="24"/>
        <v>0.10546073595530141</v>
      </c>
      <c r="AH26" s="112">
        <f t="shared" si="25"/>
        <v>0.10249247020821511</v>
      </c>
      <c r="AI26" s="112">
        <f t="shared" si="26"/>
        <v>0.10092103540093413</v>
      </c>
      <c r="AJ26" s="113">
        <f t="shared" si="27"/>
        <v>0.1005718276659828</v>
      </c>
      <c r="AK26" s="111">
        <f t="shared" si="28"/>
        <v>2.7063599458728011E-2</v>
      </c>
      <c r="AL26" s="112">
        <f t="shared" si="29"/>
        <v>3.0555676808241301E-2</v>
      </c>
      <c r="AM26" s="112">
        <f t="shared" si="30"/>
        <v>3.3698546422803261E-2</v>
      </c>
      <c r="AN26" s="113">
        <f t="shared" si="31"/>
        <v>3.736522763979222E-2</v>
      </c>
      <c r="AO26" s="111">
        <f t="shared" si="32"/>
        <v>2.51429569164957E-2</v>
      </c>
      <c r="AP26" s="112">
        <f t="shared" si="33"/>
        <v>2.3396918241739055E-2</v>
      </c>
      <c r="AQ26" s="112">
        <f t="shared" si="34"/>
        <v>2.2000087301933736E-2</v>
      </c>
      <c r="AR26" s="113">
        <f t="shared" si="35"/>
        <v>2.0254048627177092E-2</v>
      </c>
    </row>
    <row r="27" spans="2:44" s="66" customFormat="1">
      <c r="B27" s="388"/>
      <c r="C27" s="136" t="s">
        <v>72</v>
      </c>
      <c r="D27" s="39">
        <v>4.8889082893186081E-3</v>
      </c>
      <c r="E27" s="111">
        <f t="shared" si="36"/>
        <v>15.057837531101313</v>
      </c>
      <c r="F27" s="112">
        <f t="shared" si="37"/>
        <v>13.586276136016412</v>
      </c>
      <c r="G27" s="112">
        <f t="shared" si="38"/>
        <v>12.134270374088786</v>
      </c>
      <c r="H27" s="113">
        <f t="shared" si="39"/>
        <v>10.032039809681784</v>
      </c>
      <c r="I27" s="111">
        <f t="shared" si="0"/>
        <v>14.837836658081976</v>
      </c>
      <c r="J27" s="112">
        <f t="shared" si="1"/>
        <v>12.784495176568161</v>
      </c>
      <c r="K27" s="112">
        <f t="shared" si="2"/>
        <v>10.452485922563184</v>
      </c>
      <c r="L27" s="113">
        <f t="shared" si="3"/>
        <v>7.2209175433235844</v>
      </c>
      <c r="M27" s="111">
        <f t="shared" si="4"/>
        <v>6.2920249683530489</v>
      </c>
      <c r="N27" s="112">
        <f t="shared" si="5"/>
        <v>6.3115806015103226</v>
      </c>
      <c r="O27" s="112">
        <f t="shared" si="6"/>
        <v>6.1991357108559955</v>
      </c>
      <c r="P27" s="113">
        <f t="shared" si="7"/>
        <v>6.1404688113841717</v>
      </c>
      <c r="Q27" s="111">
        <f t="shared" si="8"/>
        <v>6.2431358854598624</v>
      </c>
      <c r="R27" s="112">
        <f t="shared" si="9"/>
        <v>5.9742459295473394</v>
      </c>
      <c r="S27" s="112">
        <f t="shared" si="10"/>
        <v>5.5733554498232136</v>
      </c>
      <c r="T27" s="113">
        <f t="shared" si="11"/>
        <v>5.0257977214195293</v>
      </c>
      <c r="U27" s="111">
        <f t="shared" si="12"/>
        <v>12.056047841459687</v>
      </c>
      <c r="V27" s="112">
        <f t="shared" si="13"/>
        <v>9.9098171024488177</v>
      </c>
      <c r="W27" s="112">
        <f t="shared" si="14"/>
        <v>8.6093674974900694</v>
      </c>
      <c r="X27" s="113">
        <f t="shared" si="15"/>
        <v>7.5338076738399753</v>
      </c>
      <c r="Y27" s="111">
        <f t="shared" si="16"/>
        <v>12.075603474616962</v>
      </c>
      <c r="Z27" s="112">
        <f t="shared" si="17"/>
        <v>9.6409271465362956</v>
      </c>
      <c r="AA27" s="112">
        <f t="shared" si="18"/>
        <v>5.8715788554716486</v>
      </c>
      <c r="AB27" s="113">
        <f t="shared" si="19"/>
        <v>2.4248985115020298</v>
      </c>
      <c r="AC27" s="111">
        <f t="shared" si="20"/>
        <v>3.0604565891134485</v>
      </c>
      <c r="AD27" s="112">
        <f t="shared" si="21"/>
        <v>3.40756907765507</v>
      </c>
      <c r="AE27" s="112">
        <f t="shared" si="22"/>
        <v>3.6129032258064515</v>
      </c>
      <c r="AF27" s="113">
        <f t="shared" si="23"/>
        <v>3.6324588589637257</v>
      </c>
      <c r="AG27" s="111">
        <f t="shared" si="24"/>
        <v>2.9529006067484391</v>
      </c>
      <c r="AH27" s="112">
        <f t="shared" si="25"/>
        <v>2.869789165830023</v>
      </c>
      <c r="AI27" s="112">
        <f t="shared" si="26"/>
        <v>2.8257889912261556</v>
      </c>
      <c r="AJ27" s="113">
        <f t="shared" si="27"/>
        <v>2.8160111746475183</v>
      </c>
      <c r="AK27" s="111">
        <f t="shared" si="28"/>
        <v>0.75778078484438427</v>
      </c>
      <c r="AL27" s="112">
        <f t="shared" si="29"/>
        <v>0.85555895063075638</v>
      </c>
      <c r="AM27" s="112">
        <f t="shared" si="30"/>
        <v>0.94355929983849141</v>
      </c>
      <c r="AN27" s="113">
        <f t="shared" si="31"/>
        <v>1.0462263739141822</v>
      </c>
      <c r="AO27" s="111">
        <f t="shared" si="32"/>
        <v>0.70400279366187957</v>
      </c>
      <c r="AP27" s="112">
        <f t="shared" si="33"/>
        <v>0.65511371076869351</v>
      </c>
      <c r="AQ27" s="112">
        <f t="shared" si="34"/>
        <v>0.61600244445414465</v>
      </c>
      <c r="AR27" s="113">
        <f t="shared" si="35"/>
        <v>0.56711336156095848</v>
      </c>
    </row>
    <row r="28" spans="2:44" s="66" customFormat="1">
      <c r="B28" s="388"/>
      <c r="C28" s="136" t="s">
        <v>73</v>
      </c>
      <c r="D28" s="39">
        <v>2.2305644070016152E-2</v>
      </c>
      <c r="E28" s="111">
        <f t="shared" si="36"/>
        <v>68.701383735649742</v>
      </c>
      <c r="F28" s="112">
        <f t="shared" si="37"/>
        <v>61.987384870574886</v>
      </c>
      <c r="G28" s="112">
        <f t="shared" si="38"/>
        <v>55.362608581780087</v>
      </c>
      <c r="H28" s="113">
        <f t="shared" si="39"/>
        <v>45.771181631673144</v>
      </c>
      <c r="I28" s="111">
        <f t="shared" si="0"/>
        <v>67.697629752499026</v>
      </c>
      <c r="J28" s="112">
        <f t="shared" si="1"/>
        <v>58.329259243092238</v>
      </c>
      <c r="K28" s="112">
        <f t="shared" si="2"/>
        <v>47.689467021694533</v>
      </c>
      <c r="L28" s="113">
        <f t="shared" si="3"/>
        <v>32.945436291413856</v>
      </c>
      <c r="M28" s="111">
        <f t="shared" si="4"/>
        <v>28.707363918110786</v>
      </c>
      <c r="N28" s="112">
        <f t="shared" si="5"/>
        <v>28.796586494390851</v>
      </c>
      <c r="O28" s="112">
        <f t="shared" si="6"/>
        <v>28.283556680780482</v>
      </c>
      <c r="P28" s="113">
        <f t="shared" si="7"/>
        <v>28.015888951940287</v>
      </c>
      <c r="Q28" s="111">
        <f t="shared" si="8"/>
        <v>28.484307477410628</v>
      </c>
      <c r="R28" s="112">
        <f t="shared" si="9"/>
        <v>27.257497053559739</v>
      </c>
      <c r="S28" s="112">
        <f t="shared" si="10"/>
        <v>25.428434239818415</v>
      </c>
      <c r="T28" s="113">
        <f t="shared" si="11"/>
        <v>22.930202103976605</v>
      </c>
      <c r="U28" s="111">
        <f t="shared" si="12"/>
        <v>55.005718276659834</v>
      </c>
      <c r="V28" s="112">
        <f t="shared" si="13"/>
        <v>45.213540529922739</v>
      </c>
      <c r="W28" s="112">
        <f t="shared" si="14"/>
        <v>39.280239207298443</v>
      </c>
      <c r="X28" s="113">
        <f t="shared" si="15"/>
        <v>34.372997511894887</v>
      </c>
      <c r="Y28" s="111">
        <f t="shared" si="16"/>
        <v>55.094940852939892</v>
      </c>
      <c r="Z28" s="112">
        <f t="shared" si="17"/>
        <v>43.986730106071853</v>
      </c>
      <c r="AA28" s="112">
        <f t="shared" si="18"/>
        <v>26.789078528089398</v>
      </c>
      <c r="AB28" s="113">
        <f t="shared" si="19"/>
        <v>11.063599458728012</v>
      </c>
      <c r="AC28" s="111">
        <f t="shared" si="20"/>
        <v>13.963333187830111</v>
      </c>
      <c r="AD28" s="112">
        <f t="shared" si="21"/>
        <v>15.547033916801258</v>
      </c>
      <c r="AE28" s="112">
        <f t="shared" si="22"/>
        <v>16.483870967741936</v>
      </c>
      <c r="AF28" s="113">
        <f t="shared" si="23"/>
        <v>16.573093544022001</v>
      </c>
      <c r="AG28" s="111">
        <f t="shared" si="24"/>
        <v>13.472609018289756</v>
      </c>
      <c r="AH28" s="112">
        <f t="shared" si="25"/>
        <v>13.093413069099482</v>
      </c>
      <c r="AI28" s="112">
        <f t="shared" si="26"/>
        <v>12.892662272469336</v>
      </c>
      <c r="AJ28" s="113">
        <f t="shared" si="27"/>
        <v>12.848050984329303</v>
      </c>
      <c r="AK28" s="111">
        <f t="shared" si="28"/>
        <v>3.4573748308525034</v>
      </c>
      <c r="AL28" s="112">
        <f t="shared" si="29"/>
        <v>3.9034877122528266</v>
      </c>
      <c r="AM28" s="112">
        <f t="shared" si="30"/>
        <v>4.304989305513117</v>
      </c>
      <c r="AN28" s="113">
        <f t="shared" si="31"/>
        <v>4.7734078309834569</v>
      </c>
      <c r="AO28" s="111">
        <f t="shared" si="32"/>
        <v>3.2120127460823258</v>
      </c>
      <c r="AP28" s="112">
        <f t="shared" si="33"/>
        <v>2.9889563053821644</v>
      </c>
      <c r="AQ28" s="112">
        <f t="shared" si="34"/>
        <v>2.810511152822035</v>
      </c>
      <c r="AR28" s="113">
        <f t="shared" si="35"/>
        <v>2.5874547121218736</v>
      </c>
    </row>
    <row r="29" spans="2:44" s="66" customFormat="1">
      <c r="B29" s="388"/>
      <c r="C29" s="136" t="s">
        <v>74</v>
      </c>
      <c r="D29" s="39">
        <v>4.485136845781134E-2</v>
      </c>
      <c r="E29" s="111">
        <f t="shared" si="36"/>
        <v>138.14221485005893</v>
      </c>
      <c r="F29" s="112">
        <f t="shared" si="37"/>
        <v>124.64195294425771</v>
      </c>
      <c r="G29" s="112">
        <f t="shared" si="38"/>
        <v>111.32109651228775</v>
      </c>
      <c r="H29" s="113">
        <f t="shared" si="39"/>
        <v>92.035008075428863</v>
      </c>
      <c r="I29" s="111">
        <f t="shared" si="0"/>
        <v>136.12390326945743</v>
      </c>
      <c r="J29" s="112">
        <f t="shared" si="1"/>
        <v>117.28632851717666</v>
      </c>
      <c r="K29" s="112">
        <f t="shared" si="2"/>
        <v>95.892225762800649</v>
      </c>
      <c r="L29" s="113">
        <f t="shared" si="3"/>
        <v>66.245471212187354</v>
      </c>
      <c r="M29" s="111">
        <f t="shared" si="4"/>
        <v>57.723711205203195</v>
      </c>
      <c r="N29" s="112">
        <f t="shared" si="5"/>
        <v>57.90311667903444</v>
      </c>
      <c r="O29" s="112">
        <f t="shared" si="6"/>
        <v>56.871535204504781</v>
      </c>
      <c r="P29" s="113">
        <f t="shared" si="7"/>
        <v>56.333318783011045</v>
      </c>
      <c r="Q29" s="111">
        <f t="shared" si="8"/>
        <v>57.275197520625085</v>
      </c>
      <c r="R29" s="112">
        <f t="shared" si="9"/>
        <v>54.808372255445455</v>
      </c>
      <c r="S29" s="112">
        <f t="shared" si="10"/>
        <v>51.130560041904928</v>
      </c>
      <c r="T29" s="113">
        <f t="shared" si="11"/>
        <v>46.107206774630058</v>
      </c>
      <c r="U29" s="111">
        <f t="shared" si="12"/>
        <v>110.60347461696277</v>
      </c>
      <c r="V29" s="112">
        <f t="shared" si="13"/>
        <v>90.913723863983591</v>
      </c>
      <c r="W29" s="112">
        <f t="shared" si="14"/>
        <v>78.98325985420577</v>
      </c>
      <c r="X29" s="113">
        <f t="shared" si="15"/>
        <v>69.11595879348728</v>
      </c>
      <c r="Y29" s="111">
        <f t="shared" si="16"/>
        <v>110.78288009079401</v>
      </c>
      <c r="Z29" s="112">
        <f t="shared" si="17"/>
        <v>88.446898598803969</v>
      </c>
      <c r="AA29" s="112">
        <f t="shared" si="18"/>
        <v>53.866493517831422</v>
      </c>
      <c r="AB29" s="113">
        <f t="shared" si="19"/>
        <v>22.246278755074425</v>
      </c>
      <c r="AC29" s="111">
        <f t="shared" si="20"/>
        <v>28.0769566545899</v>
      </c>
      <c r="AD29" s="112">
        <f t="shared" si="21"/>
        <v>31.261403815094503</v>
      </c>
      <c r="AE29" s="112">
        <f t="shared" si="22"/>
        <v>33.145161290322584</v>
      </c>
      <c r="AF29" s="113">
        <f t="shared" si="23"/>
        <v>33.324566764153829</v>
      </c>
      <c r="AG29" s="111">
        <f t="shared" si="24"/>
        <v>27.09022654851805</v>
      </c>
      <c r="AH29" s="112">
        <f t="shared" si="25"/>
        <v>26.327753284735255</v>
      </c>
      <c r="AI29" s="112">
        <f t="shared" si="26"/>
        <v>25.924090968614955</v>
      </c>
      <c r="AJ29" s="113">
        <f t="shared" si="27"/>
        <v>25.834388231699332</v>
      </c>
      <c r="AK29" s="111">
        <f t="shared" si="28"/>
        <v>6.9519621109607579</v>
      </c>
      <c r="AL29" s="112">
        <f t="shared" si="29"/>
        <v>7.8489894801169848</v>
      </c>
      <c r="AM29" s="112">
        <f t="shared" si="30"/>
        <v>8.6563141123575882</v>
      </c>
      <c r="AN29" s="113">
        <f t="shared" si="31"/>
        <v>9.5981928499716265</v>
      </c>
      <c r="AO29" s="111">
        <f t="shared" si="32"/>
        <v>6.4585970579248331</v>
      </c>
      <c r="AP29" s="112">
        <f t="shared" si="33"/>
        <v>6.0100833733467196</v>
      </c>
      <c r="AQ29" s="112">
        <f t="shared" si="34"/>
        <v>5.6512724256842288</v>
      </c>
      <c r="AR29" s="113">
        <f t="shared" si="35"/>
        <v>5.2027587411061154</v>
      </c>
    </row>
    <row r="30" spans="2:44" s="66" customFormat="1">
      <c r="B30" s="388"/>
      <c r="C30" s="136" t="s">
        <v>75</v>
      </c>
      <c r="D30" s="39">
        <v>1.5365140337858484E-2</v>
      </c>
      <c r="E30" s="111">
        <f t="shared" si="36"/>
        <v>47.324632240604132</v>
      </c>
      <c r="F30" s="112">
        <f t="shared" si="37"/>
        <v>42.699724998908728</v>
      </c>
      <c r="G30" s="112">
        <f t="shared" si="38"/>
        <v>38.136278318564756</v>
      </c>
      <c r="H30" s="113">
        <f t="shared" si="39"/>
        <v>31.529267973285609</v>
      </c>
      <c r="I30" s="111">
        <f t="shared" si="0"/>
        <v>46.633200925400494</v>
      </c>
      <c r="J30" s="112">
        <f t="shared" si="1"/>
        <v>40.179841983499934</v>
      </c>
      <c r="K30" s="112">
        <f t="shared" si="2"/>
        <v>32.850670042341434</v>
      </c>
      <c r="L30" s="113">
        <f t="shared" si="3"/>
        <v>22.69431227901698</v>
      </c>
      <c r="M30" s="111">
        <f t="shared" si="4"/>
        <v>19.774935614823868</v>
      </c>
      <c r="N30" s="112">
        <f t="shared" si="5"/>
        <v>19.836396176175302</v>
      </c>
      <c r="O30" s="112">
        <f t="shared" si="6"/>
        <v>19.482997948404556</v>
      </c>
      <c r="P30" s="113">
        <f t="shared" si="7"/>
        <v>19.298616264350255</v>
      </c>
      <c r="Q30" s="111">
        <f t="shared" si="8"/>
        <v>19.621284211445282</v>
      </c>
      <c r="R30" s="112">
        <f t="shared" si="9"/>
        <v>18.776201492863066</v>
      </c>
      <c r="S30" s="112">
        <f t="shared" si="10"/>
        <v>17.516259985158673</v>
      </c>
      <c r="T30" s="113">
        <f t="shared" si="11"/>
        <v>15.79536426731852</v>
      </c>
      <c r="U30" s="111">
        <f t="shared" si="12"/>
        <v>37.890436073159023</v>
      </c>
      <c r="V30" s="112">
        <f t="shared" si="13"/>
        <v>31.145139464839147</v>
      </c>
      <c r="W30" s="112">
        <f t="shared" si="14"/>
        <v>27.058012134968788</v>
      </c>
      <c r="X30" s="113">
        <f t="shared" si="15"/>
        <v>23.677681260639922</v>
      </c>
      <c r="Y30" s="111">
        <f t="shared" si="16"/>
        <v>37.951896634510454</v>
      </c>
      <c r="Z30" s="112">
        <f t="shared" si="17"/>
        <v>30.300056746256928</v>
      </c>
      <c r="AA30" s="112">
        <f t="shared" si="18"/>
        <v>18.453533545768039</v>
      </c>
      <c r="AB30" s="113">
        <f t="shared" si="19"/>
        <v>7.6211096075778082</v>
      </c>
      <c r="AC30" s="111">
        <f t="shared" si="20"/>
        <v>9.6185778514994116</v>
      </c>
      <c r="AD30" s="112">
        <f t="shared" si="21"/>
        <v>10.709502815487363</v>
      </c>
      <c r="AE30" s="112">
        <f t="shared" si="22"/>
        <v>11.35483870967742</v>
      </c>
      <c r="AF30" s="113">
        <f t="shared" si="23"/>
        <v>11.416299271028853</v>
      </c>
      <c r="AG30" s="111">
        <f t="shared" si="24"/>
        <v>9.2805447640665246</v>
      </c>
      <c r="AH30" s="112">
        <f t="shared" si="25"/>
        <v>9.0193373783229305</v>
      </c>
      <c r="AI30" s="112">
        <f t="shared" si="26"/>
        <v>8.8810511152822027</v>
      </c>
      <c r="AJ30" s="113">
        <f t="shared" si="27"/>
        <v>8.850320834606487</v>
      </c>
      <c r="AK30" s="111">
        <f t="shared" si="28"/>
        <v>2.3815967523680648</v>
      </c>
      <c r="AL30" s="112">
        <f t="shared" si="29"/>
        <v>2.6888995591252347</v>
      </c>
      <c r="AM30" s="112">
        <f t="shared" si="30"/>
        <v>2.9654720852066871</v>
      </c>
      <c r="AN30" s="113">
        <f t="shared" si="31"/>
        <v>3.2881400323017154</v>
      </c>
      <c r="AO30" s="111">
        <f t="shared" si="32"/>
        <v>2.2125802086516217</v>
      </c>
      <c r="AP30" s="112">
        <f t="shared" si="33"/>
        <v>2.058928805273037</v>
      </c>
      <c r="AQ30" s="112">
        <f t="shared" si="34"/>
        <v>1.9360076825701689</v>
      </c>
      <c r="AR30" s="113">
        <f t="shared" si="35"/>
        <v>1.7823562791915841</v>
      </c>
    </row>
    <row r="31" spans="2:44" s="66" customFormat="1">
      <c r="B31" s="388"/>
      <c r="C31" s="136" t="s">
        <v>76</v>
      </c>
      <c r="D31" s="39">
        <v>6.8248286699550395E-2</v>
      </c>
      <c r="E31" s="111">
        <f t="shared" si="36"/>
        <v>210.20472303461523</v>
      </c>
      <c r="F31" s="112">
        <f t="shared" si="37"/>
        <v>189.66198873805055</v>
      </c>
      <c r="G31" s="112">
        <f t="shared" si="38"/>
        <v>169.39224758828408</v>
      </c>
      <c r="H31" s="113">
        <f t="shared" si="39"/>
        <v>140.04548430747741</v>
      </c>
      <c r="I31" s="111">
        <f t="shared" si="0"/>
        <v>207.13355013313546</v>
      </c>
      <c r="J31" s="112">
        <f t="shared" si="1"/>
        <v>178.46926971932427</v>
      </c>
      <c r="K31" s="112">
        <f t="shared" si="2"/>
        <v>145.91483696363875</v>
      </c>
      <c r="L31" s="113">
        <f t="shared" si="3"/>
        <v>100.80271945523593</v>
      </c>
      <c r="M31" s="111">
        <f t="shared" si="4"/>
        <v>87.835544982321352</v>
      </c>
      <c r="N31" s="112">
        <f t="shared" si="5"/>
        <v>88.108538129119566</v>
      </c>
      <c r="O31" s="112">
        <f t="shared" si="6"/>
        <v>86.538827535029895</v>
      </c>
      <c r="P31" s="113">
        <f t="shared" si="7"/>
        <v>85.719848094635296</v>
      </c>
      <c r="Q31" s="111">
        <f t="shared" si="8"/>
        <v>87.153062115325852</v>
      </c>
      <c r="R31" s="112">
        <f t="shared" si="9"/>
        <v>83.399406346850583</v>
      </c>
      <c r="S31" s="112">
        <f t="shared" si="10"/>
        <v>77.803046837487457</v>
      </c>
      <c r="T31" s="113">
        <f t="shared" si="11"/>
        <v>70.159238727137804</v>
      </c>
      <c r="U31" s="111">
        <f t="shared" si="12"/>
        <v>168.30027500109128</v>
      </c>
      <c r="V31" s="112">
        <f t="shared" si="13"/>
        <v>138.33927713998864</v>
      </c>
      <c r="W31" s="112">
        <f t="shared" si="14"/>
        <v>120.18523287790825</v>
      </c>
      <c r="X31" s="113">
        <f t="shared" si="15"/>
        <v>105.17060980400716</v>
      </c>
      <c r="Y31" s="111">
        <f t="shared" si="16"/>
        <v>168.57326814788948</v>
      </c>
      <c r="Z31" s="112">
        <f t="shared" si="17"/>
        <v>134.58562137151338</v>
      </c>
      <c r="AA31" s="112">
        <f t="shared" si="18"/>
        <v>81.966192326160026</v>
      </c>
      <c r="AB31" s="113">
        <f t="shared" si="19"/>
        <v>33.851150202976996</v>
      </c>
      <c r="AC31" s="111">
        <f t="shared" si="20"/>
        <v>42.723427473918548</v>
      </c>
      <c r="AD31" s="112">
        <f t="shared" si="21"/>
        <v>47.569055829586624</v>
      </c>
      <c r="AE31" s="112">
        <f t="shared" si="22"/>
        <v>50.435483870967744</v>
      </c>
      <c r="AF31" s="113">
        <f t="shared" si="23"/>
        <v>50.708477017765944</v>
      </c>
      <c r="AG31" s="111">
        <f t="shared" si="24"/>
        <v>41.221965166528442</v>
      </c>
      <c r="AH31" s="112">
        <f t="shared" si="25"/>
        <v>40.061744292636085</v>
      </c>
      <c r="AI31" s="112">
        <f t="shared" si="26"/>
        <v>39.447509712340128</v>
      </c>
      <c r="AJ31" s="113">
        <f t="shared" si="27"/>
        <v>39.311013138941028</v>
      </c>
      <c r="AK31" s="111">
        <f t="shared" si="28"/>
        <v>10.578484438430312</v>
      </c>
      <c r="AL31" s="112">
        <f t="shared" si="29"/>
        <v>11.943450172421318</v>
      </c>
      <c r="AM31" s="112">
        <f t="shared" si="30"/>
        <v>13.171919333013227</v>
      </c>
      <c r="AN31" s="113">
        <f t="shared" si="31"/>
        <v>14.605133353703785</v>
      </c>
      <c r="AO31" s="111">
        <f t="shared" si="32"/>
        <v>9.8277532847352571</v>
      </c>
      <c r="AP31" s="112">
        <f t="shared" si="33"/>
        <v>9.1452704177397521</v>
      </c>
      <c r="AQ31" s="112">
        <f t="shared" si="34"/>
        <v>8.5992841241433506</v>
      </c>
      <c r="AR31" s="113">
        <f t="shared" si="35"/>
        <v>7.9168012571478457</v>
      </c>
    </row>
    <row r="32" spans="2:44" s="66" customFormat="1">
      <c r="B32" s="388"/>
      <c r="C32" s="136" t="s">
        <v>77</v>
      </c>
      <c r="D32" s="39">
        <v>1.246235104107556E-2</v>
      </c>
      <c r="E32" s="111">
        <f t="shared" si="36"/>
        <v>38.384041206512727</v>
      </c>
      <c r="F32" s="112">
        <f t="shared" si="37"/>
        <v>34.632873543148982</v>
      </c>
      <c r="G32" s="112">
        <f t="shared" si="38"/>
        <v>30.931555283949539</v>
      </c>
      <c r="H32" s="113">
        <f t="shared" si="39"/>
        <v>25.572744336287048</v>
      </c>
      <c r="I32" s="111">
        <f t="shared" si="0"/>
        <v>37.823235409664321</v>
      </c>
      <c r="J32" s="112">
        <f t="shared" si="1"/>
        <v>32.589047972412587</v>
      </c>
      <c r="K32" s="112">
        <f t="shared" si="2"/>
        <v>26.644506525819548</v>
      </c>
      <c r="L32" s="113">
        <f t="shared" si="3"/>
        <v>18.406892487668603</v>
      </c>
      <c r="M32" s="111">
        <f t="shared" si="4"/>
        <v>16.039045789864247</v>
      </c>
      <c r="N32" s="112">
        <f t="shared" si="5"/>
        <v>16.088895194028549</v>
      </c>
      <c r="O32" s="112">
        <f t="shared" si="6"/>
        <v>15.802261120083809</v>
      </c>
      <c r="P32" s="113">
        <f t="shared" si="7"/>
        <v>15.652712907590903</v>
      </c>
      <c r="Q32" s="111">
        <f t="shared" si="8"/>
        <v>15.91442227945349</v>
      </c>
      <c r="R32" s="112">
        <f t="shared" si="9"/>
        <v>15.228992972194334</v>
      </c>
      <c r="S32" s="112">
        <f t="shared" si="10"/>
        <v>14.207080186826138</v>
      </c>
      <c r="T32" s="113">
        <f t="shared" si="11"/>
        <v>12.811296870225675</v>
      </c>
      <c r="U32" s="111">
        <f t="shared" si="12"/>
        <v>30.732157667292331</v>
      </c>
      <c r="V32" s="112">
        <f t="shared" si="13"/>
        <v>25.261185560260159</v>
      </c>
      <c r="W32" s="112">
        <f t="shared" si="14"/>
        <v>21.94620018333406</v>
      </c>
      <c r="X32" s="113">
        <f t="shared" si="15"/>
        <v>19.204482954297436</v>
      </c>
      <c r="Y32" s="111">
        <f t="shared" si="16"/>
        <v>30.782007071456633</v>
      </c>
      <c r="Z32" s="112">
        <f t="shared" si="17"/>
        <v>24.575756253001003</v>
      </c>
      <c r="AA32" s="112">
        <f t="shared" si="18"/>
        <v>14.967283600331747</v>
      </c>
      <c r="AB32" s="113">
        <f t="shared" si="19"/>
        <v>6.1813261163734774</v>
      </c>
      <c r="AC32" s="111">
        <f t="shared" si="20"/>
        <v>7.8014317517133005</v>
      </c>
      <c r="AD32" s="112">
        <f t="shared" si="21"/>
        <v>8.6862586756296647</v>
      </c>
      <c r="AE32" s="112">
        <f t="shared" si="22"/>
        <v>9.2096774193548381</v>
      </c>
      <c r="AF32" s="113">
        <f t="shared" si="23"/>
        <v>9.2595268235191401</v>
      </c>
      <c r="AG32" s="111">
        <f t="shared" si="24"/>
        <v>7.5272600288096383</v>
      </c>
      <c r="AH32" s="112">
        <f t="shared" si="25"/>
        <v>7.3154000611113537</v>
      </c>
      <c r="AI32" s="112">
        <f t="shared" si="26"/>
        <v>7.2032389017416731</v>
      </c>
      <c r="AJ32" s="113">
        <f t="shared" si="27"/>
        <v>7.1783141996595221</v>
      </c>
      <c r="AK32" s="111">
        <f t="shared" si="28"/>
        <v>1.9316644113667116</v>
      </c>
      <c r="AL32" s="112">
        <f t="shared" si="29"/>
        <v>2.180911432188223</v>
      </c>
      <c r="AM32" s="112">
        <f t="shared" si="30"/>
        <v>2.4052337509275832</v>
      </c>
      <c r="AN32" s="113">
        <f t="shared" si="31"/>
        <v>2.6669431227901699</v>
      </c>
      <c r="AO32" s="111">
        <f t="shared" si="32"/>
        <v>1.7945785499148805</v>
      </c>
      <c r="AP32" s="112">
        <f t="shared" si="33"/>
        <v>1.6699550395041249</v>
      </c>
      <c r="AQ32" s="112">
        <f t="shared" si="34"/>
        <v>1.5702562311755206</v>
      </c>
      <c r="AR32" s="113">
        <f t="shared" si="35"/>
        <v>1.445632720764765</v>
      </c>
    </row>
    <row r="33" spans="2:44" s="66" customFormat="1">
      <c r="B33" s="388"/>
      <c r="C33" s="136" t="s">
        <v>78</v>
      </c>
      <c r="D33" s="39">
        <v>2.8351302981361036E-2</v>
      </c>
      <c r="E33" s="111">
        <f t="shared" si="36"/>
        <v>87.322013182591988</v>
      </c>
      <c r="F33" s="112">
        <f t="shared" si="37"/>
        <v>78.788270985202317</v>
      </c>
      <c r="G33" s="112">
        <f t="shared" si="38"/>
        <v>70.367933999738085</v>
      </c>
      <c r="H33" s="113">
        <f t="shared" si="39"/>
        <v>58.176873717752848</v>
      </c>
      <c r="I33" s="111">
        <f t="shared" si="0"/>
        <v>86.046204548430751</v>
      </c>
      <c r="J33" s="112">
        <f t="shared" si="1"/>
        <v>74.138657296259112</v>
      </c>
      <c r="K33" s="112">
        <f t="shared" si="2"/>
        <v>60.615085774149897</v>
      </c>
      <c r="L33" s="113">
        <f t="shared" si="3"/>
        <v>41.874874503470252</v>
      </c>
      <c r="M33" s="111">
        <f t="shared" si="4"/>
        <v>36.48812693701165</v>
      </c>
      <c r="N33" s="112">
        <f t="shared" si="5"/>
        <v>36.601532148937096</v>
      </c>
      <c r="O33" s="112">
        <f t="shared" si="6"/>
        <v>35.949452180365796</v>
      </c>
      <c r="P33" s="113">
        <f t="shared" si="7"/>
        <v>35.609236544589464</v>
      </c>
      <c r="Q33" s="111">
        <f t="shared" si="8"/>
        <v>36.204613907198045</v>
      </c>
      <c r="R33" s="112">
        <f t="shared" si="9"/>
        <v>34.645292243223189</v>
      </c>
      <c r="S33" s="112">
        <f t="shared" si="10"/>
        <v>32.320485398751579</v>
      </c>
      <c r="T33" s="113">
        <f t="shared" si="11"/>
        <v>29.145139464839144</v>
      </c>
      <c r="U33" s="111">
        <f t="shared" si="12"/>
        <v>69.914313152036314</v>
      </c>
      <c r="V33" s="112">
        <f t="shared" si="13"/>
        <v>57.468091143218821</v>
      </c>
      <c r="W33" s="112">
        <f t="shared" si="14"/>
        <v>49.926644550176782</v>
      </c>
      <c r="X33" s="113">
        <f t="shared" si="15"/>
        <v>43.689357894277357</v>
      </c>
      <c r="Y33" s="111">
        <f t="shared" si="16"/>
        <v>70.027718363961753</v>
      </c>
      <c r="Z33" s="112">
        <f t="shared" si="17"/>
        <v>55.908769479243965</v>
      </c>
      <c r="AA33" s="112">
        <f t="shared" si="18"/>
        <v>34.049914880614601</v>
      </c>
      <c r="AB33" s="113">
        <f t="shared" si="19"/>
        <v>14.062246278755074</v>
      </c>
      <c r="AC33" s="111">
        <f t="shared" si="20"/>
        <v>17.747915666332009</v>
      </c>
      <c r="AD33" s="112">
        <f t="shared" si="21"/>
        <v>19.760858178008643</v>
      </c>
      <c r="AE33" s="112">
        <f t="shared" si="22"/>
        <v>20.951612903225804</v>
      </c>
      <c r="AF33" s="113">
        <f t="shared" si="23"/>
        <v>21.065018115151251</v>
      </c>
      <c r="AG33" s="111">
        <f t="shared" si="24"/>
        <v>17.124187000742065</v>
      </c>
      <c r="AH33" s="112">
        <f t="shared" si="25"/>
        <v>16.642214850058927</v>
      </c>
      <c r="AI33" s="112">
        <f t="shared" si="26"/>
        <v>16.387053123226679</v>
      </c>
      <c r="AJ33" s="113">
        <f t="shared" si="27"/>
        <v>16.330350517263955</v>
      </c>
      <c r="AK33" s="111">
        <f t="shared" si="28"/>
        <v>4.3944519621109608</v>
      </c>
      <c r="AL33" s="112">
        <f t="shared" si="29"/>
        <v>4.9614780217381815</v>
      </c>
      <c r="AM33" s="112">
        <f t="shared" si="30"/>
        <v>5.47180147540268</v>
      </c>
      <c r="AN33" s="113">
        <f t="shared" si="31"/>
        <v>6.0671788380112615</v>
      </c>
      <c r="AO33" s="111">
        <f t="shared" si="32"/>
        <v>4.0825876293159888</v>
      </c>
      <c r="AP33" s="112">
        <f t="shared" si="33"/>
        <v>3.7990745995023789</v>
      </c>
      <c r="AQ33" s="112">
        <f t="shared" si="34"/>
        <v>3.5722641756514903</v>
      </c>
      <c r="AR33" s="113">
        <f t="shared" si="35"/>
        <v>3.28875114583788</v>
      </c>
    </row>
    <row r="34" spans="2:44" s="66" customFormat="1">
      <c r="B34" s="388"/>
      <c r="C34" s="136" t="s">
        <v>79</v>
      </c>
      <c r="D34" s="39">
        <v>4.5113274259024838E-2</v>
      </c>
      <c r="E34" s="111">
        <f t="shared" si="36"/>
        <v>138.94888471779649</v>
      </c>
      <c r="F34" s="112">
        <f t="shared" si="37"/>
        <v>125.36978916583003</v>
      </c>
      <c r="G34" s="112">
        <f t="shared" si="38"/>
        <v>111.97114671089965</v>
      </c>
      <c r="H34" s="113">
        <f t="shared" si="39"/>
        <v>92.572438779518961</v>
      </c>
      <c r="I34" s="111">
        <f t="shared" si="0"/>
        <v>136.91878737614039</v>
      </c>
      <c r="J34" s="112">
        <f t="shared" si="1"/>
        <v>117.97121218734995</v>
      </c>
      <c r="K34" s="112">
        <f t="shared" si="2"/>
        <v>96.452180365795101</v>
      </c>
      <c r="L34" s="113">
        <f t="shared" si="3"/>
        <v>66.632306080579681</v>
      </c>
      <c r="M34" s="111">
        <f t="shared" si="4"/>
        <v>58.06078397136497</v>
      </c>
      <c r="N34" s="112">
        <f t="shared" si="5"/>
        <v>58.241237068401063</v>
      </c>
      <c r="O34" s="112">
        <f t="shared" si="6"/>
        <v>57.203631760443493</v>
      </c>
      <c r="P34" s="113">
        <f t="shared" si="7"/>
        <v>56.6622724693352</v>
      </c>
      <c r="Q34" s="111">
        <f t="shared" si="8"/>
        <v>57.609651228774716</v>
      </c>
      <c r="R34" s="112">
        <f t="shared" si="9"/>
        <v>55.128421144528353</v>
      </c>
      <c r="S34" s="112">
        <f t="shared" si="10"/>
        <v>51.429132655288313</v>
      </c>
      <c r="T34" s="113">
        <f t="shared" si="11"/>
        <v>46.376445938277534</v>
      </c>
      <c r="U34" s="111">
        <f t="shared" si="12"/>
        <v>111.24933432275525</v>
      </c>
      <c r="V34" s="112">
        <f t="shared" si="13"/>
        <v>91.444606923043352</v>
      </c>
      <c r="W34" s="112">
        <f t="shared" si="14"/>
        <v>79.444475970142733</v>
      </c>
      <c r="X34" s="113">
        <f t="shared" si="15"/>
        <v>69.519555633157282</v>
      </c>
      <c r="Y34" s="111">
        <f t="shared" si="16"/>
        <v>111.42978741979135</v>
      </c>
      <c r="Z34" s="112">
        <f t="shared" si="17"/>
        <v>88.963376838796975</v>
      </c>
      <c r="AA34" s="112">
        <f t="shared" si="18"/>
        <v>54.18104238508883</v>
      </c>
      <c r="AB34" s="113">
        <f t="shared" si="19"/>
        <v>22.376184032476321</v>
      </c>
      <c r="AC34" s="111">
        <f t="shared" si="20"/>
        <v>28.24090968614955</v>
      </c>
      <c r="AD34" s="112">
        <f t="shared" si="21"/>
        <v>31.443952158540313</v>
      </c>
      <c r="AE34" s="112">
        <f t="shared" si="22"/>
        <v>33.338709677419352</v>
      </c>
      <c r="AF34" s="113">
        <f t="shared" si="23"/>
        <v>33.519162774455452</v>
      </c>
      <c r="AG34" s="111">
        <f t="shared" si="24"/>
        <v>27.248417652451003</v>
      </c>
      <c r="AH34" s="112">
        <f t="shared" si="25"/>
        <v>26.48149199004758</v>
      </c>
      <c r="AI34" s="112">
        <f t="shared" si="26"/>
        <v>26.075472521716357</v>
      </c>
      <c r="AJ34" s="113">
        <f t="shared" si="27"/>
        <v>25.985245973198307</v>
      </c>
      <c r="AK34" s="111">
        <f t="shared" si="28"/>
        <v>6.99255751014885</v>
      </c>
      <c r="AL34" s="112">
        <f t="shared" si="29"/>
        <v>7.8948229953293465</v>
      </c>
      <c r="AM34" s="112">
        <f t="shared" si="30"/>
        <v>8.7068619319917939</v>
      </c>
      <c r="AN34" s="113">
        <f t="shared" si="31"/>
        <v>9.6542406914313155</v>
      </c>
      <c r="AO34" s="111">
        <f t="shared" si="32"/>
        <v>6.4963114932995767</v>
      </c>
      <c r="AP34" s="112">
        <f t="shared" si="33"/>
        <v>6.0451787507093284</v>
      </c>
      <c r="AQ34" s="112">
        <f t="shared" si="34"/>
        <v>5.6842725566371293</v>
      </c>
      <c r="AR34" s="113">
        <f t="shared" si="35"/>
        <v>5.233139814046881</v>
      </c>
    </row>
    <row r="35" spans="2:44" s="147" customFormat="1">
      <c r="B35" s="388"/>
      <c r="C35" s="221" t="s">
        <v>80</v>
      </c>
      <c r="D35" s="222">
        <v>7.8353485529704479E-3</v>
      </c>
      <c r="E35" s="223">
        <f t="shared" si="36"/>
        <v>24.132873543148978</v>
      </c>
      <c r="F35" s="224">
        <f t="shared" si="37"/>
        <v>21.774433628704873</v>
      </c>
      <c r="G35" s="224">
        <f t="shared" si="38"/>
        <v>19.44733510847265</v>
      </c>
      <c r="H35" s="225">
        <f t="shared" si="39"/>
        <v>16.078135230695359</v>
      </c>
      <c r="I35" s="223">
        <f t="shared" si="0"/>
        <v>23.780282858265309</v>
      </c>
      <c r="J35" s="224">
        <f t="shared" si="1"/>
        <v>20.489436466017722</v>
      </c>
      <c r="K35" s="224">
        <f t="shared" si="2"/>
        <v>16.751975206250819</v>
      </c>
      <c r="L35" s="225">
        <f t="shared" si="3"/>
        <v>11.572809812737351</v>
      </c>
      <c r="M35" s="223">
        <f t="shared" si="4"/>
        <v>10.084093587672966</v>
      </c>
      <c r="N35" s="224">
        <f t="shared" si="5"/>
        <v>10.115434981884848</v>
      </c>
      <c r="O35" s="224">
        <f t="shared" si="6"/>
        <v>9.9352219651665283</v>
      </c>
      <c r="P35" s="225">
        <f t="shared" si="7"/>
        <v>9.8411977825308821</v>
      </c>
      <c r="Q35" s="223">
        <f t="shared" si="8"/>
        <v>10.005740102143262</v>
      </c>
      <c r="R35" s="224">
        <f t="shared" si="9"/>
        <v>9.5747959317298879</v>
      </c>
      <c r="S35" s="224">
        <f t="shared" si="10"/>
        <v>8.9322973503863103</v>
      </c>
      <c r="T35" s="225">
        <f t="shared" si="11"/>
        <v>8.0547383124536207</v>
      </c>
      <c r="U35" s="223">
        <f t="shared" si="12"/>
        <v>19.321969531625125</v>
      </c>
      <c r="V35" s="224">
        <f t="shared" si="13"/>
        <v>15.882251516871097</v>
      </c>
      <c r="W35" s="224">
        <f t="shared" si="14"/>
        <v>13.798048801780959</v>
      </c>
      <c r="X35" s="225">
        <f t="shared" si="15"/>
        <v>12.074272120127461</v>
      </c>
      <c r="Y35" s="223">
        <f t="shared" si="16"/>
        <v>19.353310925837008</v>
      </c>
      <c r="Z35" s="224">
        <f t="shared" si="17"/>
        <v>15.451307346457723</v>
      </c>
      <c r="AA35" s="224">
        <f t="shared" si="18"/>
        <v>9.4102536121175078</v>
      </c>
      <c r="AB35" s="225">
        <f t="shared" si="19"/>
        <v>3.8863328822733423</v>
      </c>
      <c r="AC35" s="223">
        <f t="shared" si="20"/>
        <v>4.9049281941595</v>
      </c>
      <c r="AD35" s="224">
        <f t="shared" si="21"/>
        <v>5.4612379414204018</v>
      </c>
      <c r="AE35" s="224">
        <f t="shared" si="22"/>
        <v>5.790322580645161</v>
      </c>
      <c r="AF35" s="225">
        <f t="shared" si="23"/>
        <v>5.8216639748570431</v>
      </c>
      <c r="AG35" s="223">
        <f t="shared" si="24"/>
        <v>4.7325505259941503</v>
      </c>
      <c r="AH35" s="224">
        <f t="shared" si="25"/>
        <v>4.5993496005936532</v>
      </c>
      <c r="AI35" s="224">
        <f t="shared" si="26"/>
        <v>4.5288314636169185</v>
      </c>
      <c r="AJ35" s="225">
        <f t="shared" si="27"/>
        <v>4.5131607665109783</v>
      </c>
      <c r="AK35" s="223">
        <f t="shared" si="28"/>
        <v>1.2144790257104194</v>
      </c>
      <c r="AL35" s="224">
        <f t="shared" si="29"/>
        <v>1.3711859967698283</v>
      </c>
      <c r="AM35" s="224">
        <f t="shared" si="30"/>
        <v>1.5122222707232964</v>
      </c>
      <c r="AN35" s="225">
        <f t="shared" si="31"/>
        <v>1.6767645903356758</v>
      </c>
      <c r="AO35" s="223">
        <f t="shared" si="32"/>
        <v>1.1282901916277446</v>
      </c>
      <c r="AP35" s="224">
        <f t="shared" si="33"/>
        <v>1.04993670609804</v>
      </c>
      <c r="AQ35" s="224">
        <f t="shared" si="34"/>
        <v>0.98725391767427639</v>
      </c>
      <c r="AR35" s="225">
        <f t="shared" si="35"/>
        <v>0.90890043214457195</v>
      </c>
    </row>
    <row r="36" spans="2:44">
      <c r="B36" s="389"/>
      <c r="C36" s="69" t="s">
        <v>81</v>
      </c>
      <c r="D36" s="40">
        <v>1.1720284604303985E-2</v>
      </c>
      <c r="E36" s="54">
        <f>D36*3080</f>
        <v>36.098476581256271</v>
      </c>
      <c r="F36" s="50">
        <f t="shared" si="37"/>
        <v>32.570670915360772</v>
      </c>
      <c r="G36" s="50">
        <f t="shared" si="38"/>
        <v>29.089746387882489</v>
      </c>
      <c r="H36" s="36">
        <f t="shared" si="39"/>
        <v>24.050024008031777</v>
      </c>
      <c r="I36" s="54">
        <f t="shared" si="0"/>
        <v>35.571063774062594</v>
      </c>
      <c r="J36" s="50">
        <f t="shared" si="1"/>
        <v>30.648544240254921</v>
      </c>
      <c r="K36" s="50">
        <f t="shared" si="2"/>
        <v>25.057968484001918</v>
      </c>
      <c r="L36" s="36">
        <f t="shared" si="3"/>
        <v>17.310860360556987</v>
      </c>
      <c r="M36" s="54">
        <f t="shared" si="4"/>
        <v>15.084006285739228</v>
      </c>
      <c r="N36" s="50">
        <f t="shared" si="5"/>
        <v>15.130887424156445</v>
      </c>
      <c r="O36" s="50">
        <f t="shared" si="6"/>
        <v>14.861320878257452</v>
      </c>
      <c r="P36" s="36">
        <f t="shared" si="7"/>
        <v>14.720677463005805</v>
      </c>
      <c r="Q36" s="54">
        <f t="shared" si="8"/>
        <v>14.966803439696188</v>
      </c>
      <c r="R36" s="50">
        <f t="shared" si="9"/>
        <v>14.32218778645947</v>
      </c>
      <c r="S36" s="50">
        <f t="shared" si="10"/>
        <v>13.361124448906542</v>
      </c>
      <c r="T36" s="36">
        <f t="shared" si="11"/>
        <v>12.048452573224496</v>
      </c>
      <c r="U36" s="54">
        <f t="shared" si="12"/>
        <v>28.902221834213627</v>
      </c>
      <c r="V36" s="50">
        <f t="shared" si="13"/>
        <v>23.757016892924177</v>
      </c>
      <c r="W36" s="50">
        <f t="shared" si="14"/>
        <v>20.639421188179316</v>
      </c>
      <c r="X36" s="36">
        <f t="shared" si="15"/>
        <v>18.060958575232441</v>
      </c>
      <c r="Y36" s="54">
        <f t="shared" si="16"/>
        <v>28.949102972630843</v>
      </c>
      <c r="Z36" s="50">
        <f t="shared" si="17"/>
        <v>23.112401239687458</v>
      </c>
      <c r="AA36" s="50">
        <f t="shared" si="18"/>
        <v>14.076061809769085</v>
      </c>
      <c r="AB36" s="36">
        <f t="shared" si="19"/>
        <v>5.8132611637347766</v>
      </c>
      <c r="AC36" s="54">
        <f t="shared" si="20"/>
        <v>7.3368981622942941</v>
      </c>
      <c r="AD36" s="50">
        <f t="shared" si="21"/>
        <v>8.1690383691998765</v>
      </c>
      <c r="AE36" s="50">
        <f t="shared" si="22"/>
        <v>8.6612903225806441</v>
      </c>
      <c r="AF36" s="36">
        <f t="shared" si="23"/>
        <v>8.7081714609978604</v>
      </c>
      <c r="AG36" s="54">
        <f t="shared" si="24"/>
        <v>7.0790519009996062</v>
      </c>
      <c r="AH36" s="50">
        <f t="shared" si="25"/>
        <v>6.8798070627264387</v>
      </c>
      <c r="AI36" s="50">
        <f t="shared" si="26"/>
        <v>6.7743245012877029</v>
      </c>
      <c r="AJ36" s="36">
        <f t="shared" si="27"/>
        <v>6.7508839320790948</v>
      </c>
      <c r="AK36" s="54">
        <f t="shared" si="28"/>
        <v>1.8166441136671176</v>
      </c>
      <c r="AL36" s="50">
        <f t="shared" si="29"/>
        <v>2.0510498057531974</v>
      </c>
      <c r="AM36" s="50">
        <f t="shared" si="30"/>
        <v>2.262014928630669</v>
      </c>
      <c r="AN36" s="36">
        <f t="shared" si="31"/>
        <v>2.5081409053210528</v>
      </c>
      <c r="AO36" s="54">
        <f t="shared" si="32"/>
        <v>1.6877209830197737</v>
      </c>
      <c r="AP36" s="50">
        <f t="shared" si="33"/>
        <v>1.570518136976734</v>
      </c>
      <c r="AQ36" s="50">
        <f t="shared" si="34"/>
        <v>1.4767558601423021</v>
      </c>
      <c r="AR36" s="36">
        <f t="shared" si="35"/>
        <v>1.3595530140992622</v>
      </c>
    </row>
    <row r="38" spans="2:44">
      <c r="B38"/>
      <c r="D38"/>
    </row>
    <row r="39" spans="2:44" ht="30">
      <c r="B39" s="21"/>
      <c r="C39" s="21"/>
      <c r="D39" s="52" t="s">
        <v>99</v>
      </c>
    </row>
    <row r="40" spans="2:44">
      <c r="B40" s="21"/>
      <c r="C40" s="21"/>
      <c r="D40" s="49"/>
    </row>
    <row r="41" spans="2:44" ht="15" customHeight="1">
      <c r="B41" s="390" t="s">
        <v>100</v>
      </c>
      <c r="C41" s="70"/>
      <c r="D41" s="49"/>
    </row>
    <row r="42" spans="2:44">
      <c r="B42" s="391"/>
      <c r="C42" s="61" t="s">
        <v>50</v>
      </c>
      <c r="D42" s="45">
        <f>SUM(D44:D70)</f>
        <v>0.94691453411228232</v>
      </c>
    </row>
    <row r="43" spans="2:44" ht="30">
      <c r="B43" s="391"/>
      <c r="C43" s="60"/>
      <c r="D43" s="62"/>
      <c r="F43" s="227" t="s">
        <v>114</v>
      </c>
      <c r="G43" s="227" t="s">
        <v>115</v>
      </c>
      <c r="H43" s="228" t="s">
        <v>122</v>
      </c>
      <c r="I43" s="229" t="s">
        <v>174</v>
      </c>
    </row>
    <row r="44" spans="2:44">
      <c r="B44" s="391"/>
      <c r="C44" s="68" t="s">
        <v>55</v>
      </c>
      <c r="D44" s="34">
        <v>7.2293448658723057E-3</v>
      </c>
      <c r="F44" s="230" t="s">
        <v>55</v>
      </c>
      <c r="G44" s="149">
        <v>231</v>
      </c>
      <c r="H44" s="143">
        <v>5</v>
      </c>
      <c r="I44" s="231">
        <f>H44/1998</f>
        <v>2.5025025025025025E-3</v>
      </c>
    </row>
    <row r="45" spans="2:44">
      <c r="B45" s="391"/>
      <c r="C45" s="68" t="s">
        <v>56</v>
      </c>
      <c r="D45" s="34">
        <v>0.25335751696685344</v>
      </c>
      <c r="F45" s="232" t="s">
        <v>56</v>
      </c>
      <c r="G45" s="148">
        <v>5998</v>
      </c>
      <c r="H45" s="143">
        <v>715</v>
      </c>
      <c r="I45" s="231">
        <f t="shared" ref="I45:I69" si="40">H45/1998</f>
        <v>0.35785785785785784</v>
      </c>
    </row>
    <row r="46" spans="2:44">
      <c r="B46" s="391"/>
      <c r="C46" s="68" t="s">
        <v>57</v>
      </c>
      <c r="D46" s="34">
        <v>1.2739250787996212E-2</v>
      </c>
      <c r="F46" s="232" t="s">
        <v>57</v>
      </c>
      <c r="G46" s="148">
        <v>294</v>
      </c>
      <c r="H46" s="143">
        <v>10</v>
      </c>
      <c r="I46" s="231">
        <f t="shared" si="40"/>
        <v>5.005005005005005E-3</v>
      </c>
    </row>
    <row r="47" spans="2:44">
      <c r="B47" s="391"/>
      <c r="C47" s="68" t="s">
        <v>58</v>
      </c>
      <c r="D47" s="34">
        <v>6.9894830444504716E-2</v>
      </c>
      <c r="F47" s="233" t="s">
        <v>58</v>
      </c>
      <c r="G47" s="149">
        <v>3054</v>
      </c>
      <c r="H47" s="143">
        <v>109</v>
      </c>
      <c r="I47" s="231">
        <f t="shared" si="40"/>
        <v>5.4554554554554553E-2</v>
      </c>
    </row>
    <row r="48" spans="2:44">
      <c r="B48" s="391"/>
      <c r="C48" s="68" t="s">
        <v>59</v>
      </c>
      <c r="D48" s="34">
        <v>3.5265397320640858E-2</v>
      </c>
      <c r="F48" s="232" t="s">
        <v>59</v>
      </c>
      <c r="G48" s="148">
        <v>950</v>
      </c>
      <c r="H48" s="143">
        <v>53</v>
      </c>
      <c r="I48" s="231">
        <f t="shared" si="40"/>
        <v>2.6526526526526525E-2</v>
      </c>
    </row>
    <row r="49" spans="2:9">
      <c r="B49" s="391"/>
      <c r="C49" s="68" t="s">
        <v>60</v>
      </c>
      <c r="D49" s="34">
        <v>7.5207456650446952E-3</v>
      </c>
      <c r="F49" s="232" t="s">
        <v>60</v>
      </c>
      <c r="G49" s="148">
        <v>486</v>
      </c>
      <c r="H49" s="143">
        <v>25</v>
      </c>
      <c r="I49" s="231">
        <f t="shared" si="40"/>
        <v>1.2512512512512513E-2</v>
      </c>
    </row>
    <row r="50" spans="2:9">
      <c r="B50" s="391"/>
      <c r="C50" s="68" t="s">
        <v>61</v>
      </c>
      <c r="D50" s="34">
        <v>3.8090112459948949E-2</v>
      </c>
      <c r="F50" s="232" t="s">
        <v>61</v>
      </c>
      <c r="G50" s="148">
        <v>1038</v>
      </c>
      <c r="H50" s="143">
        <v>49</v>
      </c>
      <c r="I50" s="231">
        <f t="shared" si="40"/>
        <v>2.4524524524524523E-2</v>
      </c>
    </row>
    <row r="51" spans="2:9">
      <c r="B51" s="391"/>
      <c r="C51" s="68" t="s">
        <v>62</v>
      </c>
      <c r="D51" s="34">
        <v>4.6641364284025636E-3</v>
      </c>
      <c r="F51" s="233" t="s">
        <v>62</v>
      </c>
      <c r="G51" s="149">
        <v>542</v>
      </c>
      <c r="H51" s="143">
        <v>11</v>
      </c>
      <c r="I51" s="231">
        <f t="shared" si="40"/>
        <v>5.5055055055055055E-3</v>
      </c>
    </row>
    <row r="52" spans="2:9">
      <c r="B52" s="391"/>
      <c r="C52" s="68" t="s">
        <v>63</v>
      </c>
      <c r="D52" s="34">
        <v>1.3742171665526499E-2</v>
      </c>
      <c r="F52" s="233" t="s">
        <v>63</v>
      </c>
      <c r="G52" s="149">
        <v>1055</v>
      </c>
      <c r="H52" s="143">
        <v>34</v>
      </c>
      <c r="I52" s="231">
        <f t="shared" si="40"/>
        <v>1.7017017017017019E-2</v>
      </c>
    </row>
    <row r="53" spans="2:9">
      <c r="B53" s="391"/>
      <c r="C53" s="136" t="s">
        <v>64</v>
      </c>
      <c r="D53" s="39">
        <v>4.7461631082758762E-2</v>
      </c>
      <c r="F53" s="233" t="s">
        <v>64</v>
      </c>
      <c r="G53" s="149">
        <v>1476</v>
      </c>
      <c r="H53" s="143">
        <v>101</v>
      </c>
      <c r="I53" s="231">
        <f t="shared" si="40"/>
        <v>5.0550550550550549E-2</v>
      </c>
    </row>
    <row r="54" spans="2:9">
      <c r="B54" s="391"/>
      <c r="C54" s="136" t="s">
        <v>65</v>
      </c>
      <c r="D54" s="39">
        <v>6.250066966776123E-3</v>
      </c>
      <c r="F54" s="233" t="s">
        <v>65</v>
      </c>
      <c r="G54" s="149">
        <v>526</v>
      </c>
      <c r="H54" s="143">
        <v>24</v>
      </c>
      <c r="I54" s="231">
        <f t="shared" si="40"/>
        <v>1.2012012012012012E-2</v>
      </c>
    </row>
    <row r="55" spans="2:9">
      <c r="B55" s="391"/>
      <c r="C55" s="136" t="s">
        <v>66</v>
      </c>
      <c r="D55" s="39">
        <v>3.5920275868712687E-2</v>
      </c>
      <c r="F55" s="233" t="s">
        <v>66</v>
      </c>
      <c r="G55" s="149">
        <v>1090</v>
      </c>
      <c r="H55" s="143">
        <v>48</v>
      </c>
      <c r="I55" s="231">
        <f t="shared" si="40"/>
        <v>2.4024024024024024E-2</v>
      </c>
    </row>
    <row r="56" spans="2:9">
      <c r="B56" s="391"/>
      <c r="C56" s="136" t="s">
        <v>67</v>
      </c>
      <c r="D56" s="39">
        <v>5.3788515726256522E-2</v>
      </c>
      <c r="F56" s="233" t="s">
        <v>67</v>
      </c>
      <c r="G56" s="149">
        <v>1146</v>
      </c>
      <c r="H56" s="143">
        <v>103</v>
      </c>
      <c r="I56" s="231">
        <f t="shared" si="40"/>
        <v>5.1551551551551549E-2</v>
      </c>
    </row>
    <row r="57" spans="2:9" ht="15.75">
      <c r="B57" s="391"/>
      <c r="C57" s="136" t="s">
        <v>68</v>
      </c>
      <c r="D57" s="39">
        <v>1.4197213213950084E-3</v>
      </c>
      <c r="F57" s="234" t="s">
        <v>68</v>
      </c>
      <c r="G57" s="149">
        <v>496</v>
      </c>
      <c r="H57" s="143">
        <v>21</v>
      </c>
      <c r="I57" s="231">
        <f t="shared" si="40"/>
        <v>1.0510510510510511E-2</v>
      </c>
    </row>
    <row r="58" spans="2:9">
      <c r="B58" s="391"/>
      <c r="C58" s="136" t="s">
        <v>69</v>
      </c>
      <c r="D58" s="39">
        <v>0.10791193905802197</v>
      </c>
      <c r="F58" s="233" t="s">
        <v>69</v>
      </c>
      <c r="G58" s="149">
        <v>2551</v>
      </c>
      <c r="H58" s="143">
        <v>190</v>
      </c>
      <c r="I58" s="231">
        <f t="shared" si="40"/>
        <v>9.5095095095095089E-2</v>
      </c>
    </row>
    <row r="59" spans="2:9" ht="15.75">
      <c r="B59" s="391"/>
      <c r="C59" s="136" t="s">
        <v>70</v>
      </c>
      <c r="D59" s="39">
        <v>2.5870408352342065E-3</v>
      </c>
      <c r="F59" s="234" t="s">
        <v>70</v>
      </c>
      <c r="G59" s="149">
        <v>93</v>
      </c>
      <c r="H59" s="143">
        <v>5</v>
      </c>
      <c r="I59" s="231">
        <f t="shared" si="40"/>
        <v>2.5025025025025025E-3</v>
      </c>
    </row>
    <row r="60" spans="2:9">
      <c r="B60" s="391"/>
      <c r="C60" s="136" t="s">
        <v>71</v>
      </c>
      <c r="D60" s="39">
        <v>2.4460935883428169E-4</v>
      </c>
      <c r="F60" s="233" t="s">
        <v>71</v>
      </c>
      <c r="G60" s="149">
        <v>21</v>
      </c>
      <c r="H60" s="143">
        <v>0</v>
      </c>
      <c r="I60" s="231">
        <f t="shared" si="40"/>
        <v>0</v>
      </c>
    </row>
    <row r="61" spans="2:9">
      <c r="B61" s="391"/>
      <c r="C61" s="136" t="s">
        <v>72</v>
      </c>
      <c r="D61" s="39">
        <v>3.1909870944848144E-2</v>
      </c>
      <c r="F61" s="233" t="s">
        <v>72</v>
      </c>
      <c r="G61" s="149">
        <v>1447</v>
      </c>
      <c r="H61" s="143">
        <v>25</v>
      </c>
      <c r="I61" s="231">
        <f t="shared" si="40"/>
        <v>1.2512512512512513E-2</v>
      </c>
    </row>
    <row r="62" spans="2:9">
      <c r="B62" s="391"/>
      <c r="C62" s="136" t="s">
        <v>73</v>
      </c>
      <c r="D62" s="39">
        <v>6.8091523062866199E-3</v>
      </c>
      <c r="F62" s="233" t="s">
        <v>73</v>
      </c>
      <c r="G62" s="149">
        <v>784</v>
      </c>
      <c r="H62" s="143">
        <v>44</v>
      </c>
      <c r="I62" s="231">
        <f t="shared" si="40"/>
        <v>2.2022022022022022E-2</v>
      </c>
    </row>
    <row r="63" spans="2:9">
      <c r="B63" s="391"/>
      <c r="C63" s="136" t="s">
        <v>74</v>
      </c>
      <c r="D63" s="39">
        <v>3.0144615105884127E-2</v>
      </c>
      <c r="F63" s="233" t="s">
        <v>74</v>
      </c>
      <c r="G63" s="149">
        <v>924</v>
      </c>
      <c r="H63" s="143">
        <v>55</v>
      </c>
      <c r="I63" s="231">
        <f t="shared" si="40"/>
        <v>2.7527527527527528E-2</v>
      </c>
    </row>
    <row r="64" spans="2:9">
      <c r="B64" s="391"/>
      <c r="C64" s="136" t="s">
        <v>75</v>
      </c>
      <c r="D64" s="39">
        <v>3.8668723370443811E-3</v>
      </c>
      <c r="F64" s="233" t="s">
        <v>75</v>
      </c>
      <c r="G64" s="149">
        <v>849</v>
      </c>
      <c r="H64" s="143">
        <v>28</v>
      </c>
      <c r="I64" s="231">
        <f t="shared" si="40"/>
        <v>1.4014014014014014E-2</v>
      </c>
    </row>
    <row r="65" spans="2:12">
      <c r="B65" s="391"/>
      <c r="C65" s="136" t="s">
        <v>76</v>
      </c>
      <c r="D65" s="39">
        <v>5.7267249289906418E-2</v>
      </c>
      <c r="F65" s="233" t="s">
        <v>76</v>
      </c>
      <c r="G65" s="149">
        <v>1466</v>
      </c>
      <c r="H65" s="143">
        <v>79</v>
      </c>
      <c r="I65" s="231">
        <f t="shared" si="40"/>
        <v>3.9539539539539537E-2</v>
      </c>
    </row>
    <row r="66" spans="2:12" ht="15.75">
      <c r="B66" s="391"/>
      <c r="C66" s="68" t="s">
        <v>77</v>
      </c>
      <c r="D66" s="39">
        <v>8.612213882444859E-3</v>
      </c>
      <c r="F66" s="234" t="s">
        <v>77</v>
      </c>
      <c r="G66" s="149">
        <v>565</v>
      </c>
      <c r="H66" s="143">
        <v>36</v>
      </c>
      <c r="I66" s="231">
        <f t="shared" si="40"/>
        <v>1.8018018018018018E-2</v>
      </c>
    </row>
    <row r="67" spans="2:12">
      <c r="B67" s="391"/>
      <c r="C67" s="68" t="s">
        <v>78</v>
      </c>
      <c r="D67" s="34">
        <v>7.898884837296536E-3</v>
      </c>
      <c r="F67" s="233" t="s">
        <v>78</v>
      </c>
      <c r="G67" s="149">
        <v>918</v>
      </c>
      <c r="H67" s="143">
        <v>36</v>
      </c>
      <c r="I67" s="231">
        <f t="shared" si="40"/>
        <v>1.8018018018018018E-2</v>
      </c>
    </row>
    <row r="68" spans="2:12">
      <c r="B68" s="391"/>
      <c r="C68" s="68" t="s">
        <v>79</v>
      </c>
      <c r="D68" s="34">
        <v>5.1936140676317341E-2</v>
      </c>
      <c r="F68" s="233" t="s">
        <v>79</v>
      </c>
      <c r="G68" s="149">
        <v>2493</v>
      </c>
      <c r="H68" s="143">
        <v>124</v>
      </c>
      <c r="I68" s="231">
        <f t="shared" si="40"/>
        <v>6.2062062062062065E-2</v>
      </c>
    </row>
    <row r="69" spans="2:12">
      <c r="B69" s="391"/>
      <c r="C69" s="68" t="s">
        <v>80</v>
      </c>
      <c r="D69" s="34">
        <v>1.812174962478541E-2</v>
      </c>
      <c r="F69" s="233" t="s">
        <v>80</v>
      </c>
      <c r="G69" s="149">
        <v>396</v>
      </c>
      <c r="H69" s="143">
        <v>14</v>
      </c>
      <c r="I69" s="231">
        <f t="shared" si="40"/>
        <v>7.0070070070070069E-3</v>
      </c>
    </row>
    <row r="70" spans="2:12" ht="15.75">
      <c r="B70" s="392"/>
      <c r="C70" s="69" t="s">
        <v>81</v>
      </c>
      <c r="D70" s="40">
        <v>3.2260478284688671E-2</v>
      </c>
      <c r="F70" s="235" t="s">
        <v>81</v>
      </c>
      <c r="G70" s="236">
        <v>1749</v>
      </c>
      <c r="H70" s="63">
        <v>54</v>
      </c>
      <c r="I70" s="237">
        <f>H70/1998</f>
        <v>2.7027027027027029E-2</v>
      </c>
      <c r="K70" s="143"/>
    </row>
    <row r="71" spans="2:12">
      <c r="G71" s="149">
        <v>1998</v>
      </c>
      <c r="J71" s="58"/>
      <c r="K71" s="226"/>
      <c r="L71" s="55"/>
    </row>
    <row r="72" spans="2:12">
      <c r="B72" s="21"/>
      <c r="C72" s="21"/>
      <c r="D72" s="21"/>
      <c r="K72" s="143"/>
    </row>
    <row r="73" spans="2:12">
      <c r="K73" s="143"/>
    </row>
  </sheetData>
  <mergeCells count="18">
    <mergeCell ref="B7:B36"/>
    <mergeCell ref="B41:B70"/>
    <mergeCell ref="B2:AA2"/>
    <mergeCell ref="AK4:AR4"/>
    <mergeCell ref="AK5:AN5"/>
    <mergeCell ref="AO5:AR5"/>
    <mergeCell ref="U4:AB4"/>
    <mergeCell ref="AC4:AJ4"/>
    <mergeCell ref="U5:X5"/>
    <mergeCell ref="Y5:AB5"/>
    <mergeCell ref="AC5:AF5"/>
    <mergeCell ref="AG5:AJ5"/>
    <mergeCell ref="E5:H5"/>
    <mergeCell ref="I5:L5"/>
    <mergeCell ref="E4:L4"/>
    <mergeCell ref="M4:T4"/>
    <mergeCell ref="M5:P5"/>
    <mergeCell ref="Q5:T5"/>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dimension ref="B1:AQ54"/>
  <sheetViews>
    <sheetView zoomScale="80" zoomScaleNormal="80" workbookViewId="0">
      <selection activeCell="C22" sqref="C22"/>
    </sheetView>
  </sheetViews>
  <sheetFormatPr defaultRowHeight="15"/>
  <cols>
    <col min="1" max="1" width="3.42578125" customWidth="1"/>
    <col min="2" max="2" width="22" customWidth="1"/>
  </cols>
  <sheetData>
    <row r="1" spans="2:43" ht="15.75" thickBot="1"/>
    <row r="2" spans="2:43" s="58" customFormat="1" ht="111.75" customHeight="1" thickBot="1">
      <c r="B2" s="298" t="s">
        <v>211</v>
      </c>
      <c r="C2" s="355"/>
      <c r="D2" s="355"/>
      <c r="E2" s="355"/>
      <c r="F2" s="355"/>
      <c r="G2" s="355"/>
      <c r="H2" s="355"/>
      <c r="I2" s="355"/>
      <c r="J2" s="355"/>
      <c r="K2" s="355"/>
      <c r="L2" s="355"/>
      <c r="M2" s="355"/>
      <c r="N2" s="355"/>
      <c r="O2" s="355"/>
      <c r="P2" s="355"/>
      <c r="Q2" s="355"/>
      <c r="R2" s="355"/>
      <c r="S2" s="355"/>
      <c r="T2" s="355"/>
      <c r="U2" s="355"/>
      <c r="V2" s="355"/>
      <c r="W2" s="355"/>
      <c r="X2" s="355"/>
      <c r="Y2" s="355"/>
      <c r="Z2" s="355"/>
      <c r="AA2" s="356"/>
    </row>
    <row r="3" spans="2:43" s="58" customFormat="1" ht="15.75" thickBot="1"/>
    <row r="4" spans="2:43" ht="15.75">
      <c r="B4" s="21"/>
      <c r="C4" s="21"/>
      <c r="D4" s="401" t="s">
        <v>49</v>
      </c>
      <c r="E4" s="402"/>
      <c r="F4" s="402"/>
      <c r="G4" s="402"/>
      <c r="H4" s="402"/>
      <c r="I4" s="402"/>
      <c r="J4" s="402"/>
      <c r="K4" s="403"/>
      <c r="L4" s="404" t="s">
        <v>51</v>
      </c>
      <c r="M4" s="405"/>
      <c r="N4" s="405"/>
      <c r="O4" s="405"/>
      <c r="P4" s="405"/>
      <c r="Q4" s="405"/>
      <c r="R4" s="405"/>
      <c r="S4" s="406"/>
      <c r="T4" s="407" t="s">
        <v>52</v>
      </c>
      <c r="U4" s="408"/>
      <c r="V4" s="408"/>
      <c r="W4" s="408"/>
      <c r="X4" s="408"/>
      <c r="Y4" s="408"/>
      <c r="Z4" s="408"/>
      <c r="AA4" s="409"/>
      <c r="AB4" s="410" t="s">
        <v>53</v>
      </c>
      <c r="AC4" s="411"/>
      <c r="AD4" s="411"/>
      <c r="AE4" s="411"/>
      <c r="AF4" s="411"/>
      <c r="AG4" s="411"/>
      <c r="AH4" s="411"/>
      <c r="AI4" s="412"/>
      <c r="AJ4" s="416" t="s">
        <v>54</v>
      </c>
      <c r="AK4" s="417"/>
      <c r="AL4" s="417"/>
      <c r="AM4" s="417"/>
      <c r="AN4" s="417"/>
      <c r="AO4" s="417"/>
      <c r="AP4" s="417"/>
      <c r="AQ4" s="418"/>
    </row>
    <row r="5" spans="2:43" ht="47.25" customHeight="1">
      <c r="D5" s="421" t="s">
        <v>47</v>
      </c>
      <c r="E5" s="376"/>
      <c r="F5" s="376"/>
      <c r="G5" s="377"/>
      <c r="H5" s="376" t="s">
        <v>48</v>
      </c>
      <c r="I5" s="376"/>
      <c r="J5" s="376"/>
      <c r="K5" s="422"/>
      <c r="L5" s="423" t="s">
        <v>47</v>
      </c>
      <c r="M5" s="385"/>
      <c r="N5" s="385"/>
      <c r="O5" s="386"/>
      <c r="P5" s="385" t="s">
        <v>48</v>
      </c>
      <c r="Q5" s="385"/>
      <c r="R5" s="385"/>
      <c r="S5" s="424"/>
      <c r="T5" s="425" t="s">
        <v>47</v>
      </c>
      <c r="U5" s="370"/>
      <c r="V5" s="370"/>
      <c r="W5" s="371"/>
      <c r="X5" s="370" t="s">
        <v>48</v>
      </c>
      <c r="Y5" s="370"/>
      <c r="Z5" s="370"/>
      <c r="AA5" s="413"/>
      <c r="AB5" s="414" t="s">
        <v>47</v>
      </c>
      <c r="AC5" s="373"/>
      <c r="AD5" s="373"/>
      <c r="AE5" s="374"/>
      <c r="AF5" s="373" t="s">
        <v>48</v>
      </c>
      <c r="AG5" s="373"/>
      <c r="AH5" s="373"/>
      <c r="AI5" s="415"/>
      <c r="AJ5" s="419" t="s">
        <v>47</v>
      </c>
      <c r="AK5" s="361"/>
      <c r="AL5" s="361"/>
      <c r="AM5" s="362"/>
      <c r="AN5" s="361" t="s">
        <v>48</v>
      </c>
      <c r="AO5" s="361"/>
      <c r="AP5" s="361"/>
      <c r="AQ5" s="420"/>
    </row>
    <row r="6" spans="2:43">
      <c r="D6" s="82">
        <v>2015</v>
      </c>
      <c r="E6" s="23">
        <v>2025</v>
      </c>
      <c r="F6" s="23">
        <v>2035</v>
      </c>
      <c r="G6" s="24">
        <v>2050</v>
      </c>
      <c r="H6" s="22">
        <v>2015</v>
      </c>
      <c r="I6" s="23">
        <v>2025</v>
      </c>
      <c r="J6" s="23">
        <v>2035</v>
      </c>
      <c r="K6" s="83">
        <v>2050</v>
      </c>
      <c r="L6" s="97">
        <v>2015</v>
      </c>
      <c r="M6" s="57">
        <v>2025</v>
      </c>
      <c r="N6" s="57">
        <v>2035</v>
      </c>
      <c r="O6" s="44">
        <v>2050</v>
      </c>
      <c r="P6" s="32">
        <v>2015</v>
      </c>
      <c r="Q6" s="57">
        <v>2025</v>
      </c>
      <c r="R6" s="57">
        <v>2035</v>
      </c>
      <c r="S6" s="98">
        <v>2050</v>
      </c>
      <c r="T6" s="101">
        <v>2015</v>
      </c>
      <c r="U6" s="26">
        <v>2025</v>
      </c>
      <c r="V6" s="26">
        <v>2035</v>
      </c>
      <c r="W6" s="27">
        <v>2050</v>
      </c>
      <c r="X6" s="25">
        <v>2015</v>
      </c>
      <c r="Y6" s="26">
        <v>2025</v>
      </c>
      <c r="Z6" s="26">
        <v>2035</v>
      </c>
      <c r="AA6" s="102">
        <v>2050</v>
      </c>
      <c r="AB6" s="105">
        <v>2015</v>
      </c>
      <c r="AC6" s="37">
        <v>2025</v>
      </c>
      <c r="AD6" s="37">
        <v>2035</v>
      </c>
      <c r="AE6" s="72">
        <v>2050</v>
      </c>
      <c r="AF6" s="42">
        <v>2015</v>
      </c>
      <c r="AG6" s="37">
        <v>2025</v>
      </c>
      <c r="AH6" s="37">
        <v>2035</v>
      </c>
      <c r="AI6" s="106">
        <v>2050</v>
      </c>
      <c r="AJ6" s="107">
        <v>2015</v>
      </c>
      <c r="AK6" s="29">
        <v>2025</v>
      </c>
      <c r="AL6" s="29">
        <v>2035</v>
      </c>
      <c r="AM6" s="30">
        <v>2050</v>
      </c>
      <c r="AN6" s="28">
        <v>2015</v>
      </c>
      <c r="AO6" s="29">
        <v>2025</v>
      </c>
      <c r="AP6" s="29">
        <v>2035</v>
      </c>
      <c r="AQ6" s="108">
        <v>2050</v>
      </c>
    </row>
    <row r="7" spans="2:43">
      <c r="D7" s="84"/>
      <c r="E7" s="38"/>
      <c r="F7" s="38"/>
      <c r="G7" s="31"/>
      <c r="H7" s="43"/>
      <c r="I7" s="38"/>
      <c r="J7" s="38"/>
      <c r="K7" s="85"/>
      <c r="L7" s="97"/>
      <c r="M7" s="57"/>
      <c r="N7" s="57"/>
      <c r="O7" s="44"/>
      <c r="P7" s="32"/>
      <c r="Q7" s="57"/>
      <c r="R7" s="57"/>
      <c r="S7" s="98"/>
      <c r="T7" s="103"/>
      <c r="U7" s="51"/>
      <c r="V7" s="51"/>
      <c r="W7" s="47"/>
      <c r="X7" s="33"/>
      <c r="Y7" s="51"/>
      <c r="Z7" s="51"/>
      <c r="AA7" s="104"/>
      <c r="AB7" s="105"/>
      <c r="AC7" s="37"/>
      <c r="AD7" s="37"/>
      <c r="AE7" s="72"/>
      <c r="AF7" s="42"/>
      <c r="AG7" s="37"/>
      <c r="AH7" s="37"/>
      <c r="AI7" s="106"/>
      <c r="AJ7" s="109"/>
      <c r="AK7" s="74"/>
      <c r="AL7" s="74"/>
      <c r="AM7" s="75"/>
      <c r="AN7" s="73"/>
      <c r="AO7" s="74"/>
      <c r="AP7" s="74"/>
      <c r="AQ7" s="110"/>
    </row>
    <row r="8" spans="2:43">
      <c r="D8" s="86">
        <v>3080</v>
      </c>
      <c r="E8" s="63">
        <v>2779</v>
      </c>
      <c r="F8" s="63">
        <v>2482</v>
      </c>
      <c r="G8" s="71">
        <v>2052</v>
      </c>
      <c r="H8" s="61">
        <v>3035</v>
      </c>
      <c r="I8" s="63">
        <v>2615</v>
      </c>
      <c r="J8" s="63">
        <v>2138</v>
      </c>
      <c r="K8" s="87">
        <v>1477</v>
      </c>
      <c r="L8" s="99">
        <v>1287</v>
      </c>
      <c r="M8" s="18">
        <v>1291</v>
      </c>
      <c r="N8" s="18">
        <v>1268</v>
      </c>
      <c r="O8" s="65">
        <v>1256</v>
      </c>
      <c r="P8" s="67">
        <v>1276.5</v>
      </c>
      <c r="Q8" s="18">
        <v>1222.3</v>
      </c>
      <c r="R8" s="18">
        <v>1139.5</v>
      </c>
      <c r="S8" s="100">
        <v>1028.0999999999999</v>
      </c>
      <c r="T8" s="86">
        <v>2466</v>
      </c>
      <c r="U8" s="63">
        <v>2027</v>
      </c>
      <c r="V8" s="63">
        <v>1761</v>
      </c>
      <c r="W8" s="71">
        <v>1541</v>
      </c>
      <c r="X8" s="61">
        <v>2470</v>
      </c>
      <c r="Y8" s="63">
        <v>1972</v>
      </c>
      <c r="Z8" s="63">
        <v>1201</v>
      </c>
      <c r="AA8" s="87">
        <v>496</v>
      </c>
      <c r="AB8" s="99">
        <v>626</v>
      </c>
      <c r="AC8" s="18">
        <v>697</v>
      </c>
      <c r="AD8" s="18">
        <v>739</v>
      </c>
      <c r="AE8" s="65">
        <v>743</v>
      </c>
      <c r="AF8" s="67">
        <v>604</v>
      </c>
      <c r="AG8" s="18">
        <v>587</v>
      </c>
      <c r="AH8" s="18">
        <v>578</v>
      </c>
      <c r="AI8" s="100">
        <v>576</v>
      </c>
      <c r="AJ8" s="86">
        <v>155</v>
      </c>
      <c r="AK8" s="63">
        <v>175</v>
      </c>
      <c r="AL8" s="63">
        <v>193</v>
      </c>
      <c r="AM8" s="71">
        <v>214</v>
      </c>
      <c r="AN8" s="61">
        <v>144</v>
      </c>
      <c r="AO8" s="63">
        <v>134</v>
      </c>
      <c r="AP8" s="63">
        <v>126</v>
      </c>
      <c r="AQ8" s="87">
        <v>116</v>
      </c>
    </row>
    <row r="9" spans="2:43">
      <c r="D9" s="88"/>
      <c r="E9" s="46"/>
      <c r="F9" s="46"/>
      <c r="G9" s="46"/>
      <c r="H9" s="46"/>
      <c r="I9" s="46"/>
      <c r="J9" s="46"/>
      <c r="K9" s="89"/>
      <c r="L9" s="90"/>
      <c r="M9" s="59"/>
      <c r="N9" s="59"/>
      <c r="O9" s="59"/>
      <c r="P9" s="59"/>
      <c r="Q9" s="59"/>
      <c r="R9" s="59"/>
      <c r="S9" s="91"/>
      <c r="T9" s="90"/>
      <c r="U9" s="59"/>
      <c r="V9" s="59"/>
      <c r="W9" s="59"/>
      <c r="X9" s="59"/>
      <c r="Y9" s="59"/>
      <c r="Z9" s="59"/>
      <c r="AA9" s="91"/>
      <c r="AB9" s="90"/>
      <c r="AC9" s="59"/>
      <c r="AD9" s="59"/>
      <c r="AE9" s="59"/>
      <c r="AF9" s="59"/>
      <c r="AG9" s="59"/>
      <c r="AH9" s="59"/>
      <c r="AI9" s="91"/>
      <c r="AJ9" s="90"/>
      <c r="AK9" s="59"/>
      <c r="AL9" s="59"/>
      <c r="AM9" s="59"/>
      <c r="AN9" s="59"/>
      <c r="AO9" s="59"/>
      <c r="AP9" s="59"/>
      <c r="AQ9" s="91"/>
    </row>
    <row r="10" spans="2:43">
      <c r="B10" s="395" t="s">
        <v>228</v>
      </c>
      <c r="C10" s="396"/>
      <c r="D10" s="146">
        <v>24.132873543148978</v>
      </c>
      <c r="E10" s="146">
        <v>21.774433628704873</v>
      </c>
      <c r="F10" s="146">
        <v>19.44733510847265</v>
      </c>
      <c r="G10" s="146">
        <v>16.078135230695359</v>
      </c>
      <c r="H10" s="146">
        <v>23.780282858265309</v>
      </c>
      <c r="I10" s="146">
        <v>20.489436466017722</v>
      </c>
      <c r="J10" s="146">
        <v>16.751975206250819</v>
      </c>
      <c r="K10" s="146">
        <v>11.572809812737351</v>
      </c>
      <c r="L10" s="146">
        <v>10.084093587672966</v>
      </c>
      <c r="M10" s="146">
        <v>10.115434981884848</v>
      </c>
      <c r="N10" s="146">
        <v>9.9352219651665283</v>
      </c>
      <c r="O10" s="146">
        <v>9.8411977825308821</v>
      </c>
      <c r="P10" s="146">
        <v>10.005740102143262</v>
      </c>
      <c r="Q10" s="146">
        <v>9.5747959317298879</v>
      </c>
      <c r="R10" s="146">
        <v>8.9322973503863103</v>
      </c>
      <c r="S10" s="146">
        <v>8.0547383124536207</v>
      </c>
      <c r="T10" s="146">
        <v>19.321969531625125</v>
      </c>
      <c r="U10" s="146">
        <v>15.882251516871097</v>
      </c>
      <c r="V10" s="146">
        <v>13.798048801780959</v>
      </c>
      <c r="W10" s="146">
        <v>12.074272120127461</v>
      </c>
      <c r="X10" s="146">
        <v>19.353310925837008</v>
      </c>
      <c r="Y10" s="146">
        <v>15.451307346457723</v>
      </c>
      <c r="Z10" s="146">
        <v>9.4102536121175078</v>
      </c>
      <c r="AA10" s="146">
        <v>3.8863328822733423</v>
      </c>
      <c r="AB10" s="146">
        <v>4.9049281941595</v>
      </c>
      <c r="AC10" s="146">
        <v>5.4612379414204018</v>
      </c>
      <c r="AD10" s="146">
        <v>5.790322580645161</v>
      </c>
      <c r="AE10" s="146">
        <v>5.8216639748570431</v>
      </c>
      <c r="AF10" s="146">
        <v>4.7325505259941503</v>
      </c>
      <c r="AG10" s="146">
        <v>4.5993496005936532</v>
      </c>
      <c r="AH10" s="146">
        <v>4.5288314636169185</v>
      </c>
      <c r="AI10" s="146">
        <v>4.5131607665109783</v>
      </c>
      <c r="AJ10" s="146">
        <v>1.2144790257104194</v>
      </c>
      <c r="AK10" s="146">
        <v>1.3711859967698283</v>
      </c>
      <c r="AL10" s="146">
        <v>1.5122222707232964</v>
      </c>
      <c r="AM10" s="146">
        <v>1.6767645903356758</v>
      </c>
      <c r="AN10" s="146">
        <v>1.1282901916277446</v>
      </c>
      <c r="AO10" s="146">
        <v>1.04993670609804</v>
      </c>
      <c r="AP10" s="146">
        <v>0.98725391767427639</v>
      </c>
      <c r="AQ10" s="146">
        <v>0.90890043214457195</v>
      </c>
    </row>
    <row r="11" spans="2:43">
      <c r="B11" s="397"/>
      <c r="C11" s="398"/>
      <c r="D11" s="90"/>
      <c r="E11" s="59"/>
      <c r="F11" s="59"/>
      <c r="G11" s="59"/>
      <c r="H11" s="59"/>
      <c r="I11" s="59"/>
      <c r="J11" s="59"/>
      <c r="K11" s="91"/>
      <c r="L11" s="90"/>
      <c r="M11" s="59"/>
      <c r="N11" s="59"/>
      <c r="O11" s="59"/>
      <c r="P11" s="59"/>
      <c r="Q11" s="59"/>
      <c r="R11" s="59"/>
      <c r="S11" s="91"/>
      <c r="T11" s="90"/>
      <c r="U11" s="59"/>
      <c r="V11" s="59"/>
      <c r="W11" s="59"/>
      <c r="X11" s="59"/>
      <c r="Y11" s="59"/>
      <c r="Z11" s="59"/>
      <c r="AA11" s="91"/>
      <c r="AB11" s="90"/>
      <c r="AC11" s="59"/>
      <c r="AD11" s="59"/>
      <c r="AE11" s="59"/>
      <c r="AF11" s="59"/>
      <c r="AG11" s="59"/>
      <c r="AH11" s="59"/>
      <c r="AI11" s="91"/>
      <c r="AJ11" s="90"/>
      <c r="AK11" s="59"/>
      <c r="AL11" s="59"/>
      <c r="AM11" s="59"/>
      <c r="AN11" s="59"/>
      <c r="AO11" s="59"/>
      <c r="AP11" s="59"/>
      <c r="AQ11" s="91"/>
    </row>
    <row r="12" spans="2:43">
      <c r="B12" s="397"/>
      <c r="C12" s="398"/>
      <c r="D12" s="90"/>
      <c r="E12" s="59"/>
      <c r="F12" s="59"/>
      <c r="G12" s="59"/>
      <c r="H12" s="59"/>
      <c r="I12" s="59"/>
      <c r="J12" s="59"/>
      <c r="K12" s="91"/>
      <c r="L12" s="90"/>
      <c r="M12" s="59"/>
      <c r="N12" s="59"/>
      <c r="O12" s="59"/>
      <c r="P12" s="59"/>
      <c r="Q12" s="59"/>
      <c r="R12" s="59"/>
      <c r="S12" s="91"/>
      <c r="T12" s="90"/>
      <c r="U12" s="59"/>
      <c r="V12" s="59"/>
      <c r="W12" s="59"/>
      <c r="X12" s="59"/>
      <c r="Y12" s="59"/>
      <c r="Z12" s="59"/>
      <c r="AA12" s="91"/>
      <c r="AB12" s="90"/>
      <c r="AC12" s="59"/>
      <c r="AD12" s="59"/>
      <c r="AE12" s="59"/>
      <c r="AF12" s="59"/>
      <c r="AG12" s="59"/>
      <c r="AH12" s="59"/>
      <c r="AI12" s="91"/>
      <c r="AJ12" s="90"/>
      <c r="AK12" s="59"/>
      <c r="AL12" s="59"/>
      <c r="AM12" s="59"/>
      <c r="AN12" s="59"/>
      <c r="AO12" s="59"/>
      <c r="AP12" s="59"/>
      <c r="AQ12" s="91"/>
    </row>
    <row r="13" spans="2:43">
      <c r="B13" s="399"/>
      <c r="C13" s="400"/>
      <c r="D13" s="90"/>
      <c r="E13" s="59"/>
      <c r="F13" s="59"/>
      <c r="G13" s="59"/>
      <c r="H13" s="59"/>
      <c r="I13" s="59"/>
      <c r="J13" s="59"/>
      <c r="K13" s="91"/>
      <c r="L13" s="90"/>
      <c r="M13" s="59"/>
      <c r="N13" s="59"/>
      <c r="O13" s="59"/>
      <c r="P13" s="59"/>
      <c r="Q13" s="59"/>
      <c r="R13" s="59"/>
      <c r="S13" s="91"/>
      <c r="T13" s="90"/>
      <c r="U13" s="59"/>
      <c r="V13" s="59"/>
      <c r="W13" s="59"/>
      <c r="X13" s="59"/>
      <c r="Y13" s="59"/>
      <c r="Z13" s="59"/>
      <c r="AA13" s="91"/>
      <c r="AB13" s="90"/>
      <c r="AC13" s="59"/>
      <c r="AD13" s="59"/>
      <c r="AE13" s="59"/>
      <c r="AF13" s="59"/>
      <c r="AG13" s="59"/>
      <c r="AH13" s="59"/>
      <c r="AI13" s="91"/>
      <c r="AJ13" s="90"/>
      <c r="AK13" s="59"/>
      <c r="AL13" s="59"/>
      <c r="AM13" s="59"/>
      <c r="AN13" s="59"/>
      <c r="AO13" s="59"/>
      <c r="AP13" s="59"/>
      <c r="AQ13" s="91"/>
    </row>
    <row r="14" spans="2:43">
      <c r="B14" s="76"/>
      <c r="C14" s="76"/>
      <c r="D14" s="90"/>
      <c r="E14" s="59"/>
      <c r="F14" s="59"/>
      <c r="G14" s="59"/>
      <c r="H14" s="59"/>
      <c r="I14" s="59"/>
      <c r="J14" s="59"/>
      <c r="K14" s="91"/>
      <c r="L14" s="90"/>
      <c r="M14" s="59"/>
      <c r="N14" s="59"/>
      <c r="O14" s="59"/>
      <c r="P14" s="59"/>
      <c r="Q14" s="59"/>
      <c r="R14" s="59"/>
      <c r="S14" s="91"/>
      <c r="T14" s="90"/>
      <c r="U14" s="59"/>
      <c r="V14" s="59"/>
      <c r="W14" s="59"/>
      <c r="X14" s="59"/>
      <c r="Y14" s="59"/>
      <c r="Z14" s="59"/>
      <c r="AA14" s="91"/>
      <c r="AB14" s="90"/>
      <c r="AC14" s="59"/>
      <c r="AD14" s="59"/>
      <c r="AE14" s="59"/>
      <c r="AF14" s="59"/>
      <c r="AG14" s="59"/>
      <c r="AH14" s="59"/>
      <c r="AI14" s="91"/>
      <c r="AJ14" s="90"/>
      <c r="AK14" s="59"/>
      <c r="AL14" s="59"/>
      <c r="AM14" s="59"/>
      <c r="AN14" s="59"/>
      <c r="AO14" s="59"/>
      <c r="AP14" s="59"/>
      <c r="AQ14" s="91"/>
    </row>
    <row r="15" spans="2:43">
      <c r="B15" s="76"/>
      <c r="C15" s="76"/>
      <c r="D15" s="90"/>
      <c r="E15" s="59"/>
      <c r="F15" s="59"/>
      <c r="G15" s="59"/>
      <c r="H15" s="59"/>
      <c r="I15" s="59"/>
      <c r="J15" s="59"/>
      <c r="K15" s="91"/>
      <c r="L15" s="90"/>
      <c r="M15" s="59"/>
      <c r="N15" s="59"/>
      <c r="O15" s="59"/>
      <c r="P15" s="59"/>
      <c r="Q15" s="59"/>
      <c r="R15" s="59"/>
      <c r="S15" s="91"/>
      <c r="T15" s="90"/>
      <c r="U15" s="59"/>
      <c r="V15" s="59"/>
      <c r="W15" s="59"/>
      <c r="X15" s="59"/>
      <c r="Y15" s="59"/>
      <c r="Z15" s="59"/>
      <c r="AA15" s="91"/>
      <c r="AB15" s="90"/>
      <c r="AC15" s="59"/>
      <c r="AD15" s="59"/>
      <c r="AE15" s="59"/>
      <c r="AF15" s="59"/>
      <c r="AG15" s="59"/>
      <c r="AH15" s="59"/>
      <c r="AI15" s="91"/>
      <c r="AJ15" s="90"/>
      <c r="AK15" s="59"/>
      <c r="AL15" s="59"/>
      <c r="AM15" s="59"/>
      <c r="AN15" s="59"/>
      <c r="AO15" s="59"/>
      <c r="AP15" s="59"/>
      <c r="AQ15" s="91"/>
    </row>
    <row r="16" spans="2:43">
      <c r="B16" s="76"/>
      <c r="C16" s="76"/>
      <c r="D16" s="90"/>
      <c r="E16" s="59"/>
      <c r="F16" s="59"/>
      <c r="G16" s="59"/>
      <c r="H16" s="59"/>
      <c r="I16" s="59"/>
      <c r="J16" s="59"/>
      <c r="K16" s="91"/>
      <c r="L16" s="90"/>
      <c r="M16" s="59"/>
      <c r="N16" s="59"/>
      <c r="O16" s="59"/>
      <c r="P16" s="59"/>
      <c r="Q16" s="59"/>
      <c r="R16" s="59"/>
      <c r="S16" s="91"/>
      <c r="T16" s="90"/>
      <c r="U16" s="59"/>
      <c r="V16" s="59"/>
      <c r="W16" s="59"/>
      <c r="X16" s="59"/>
      <c r="Y16" s="59"/>
      <c r="Z16" s="59"/>
      <c r="AA16" s="91"/>
      <c r="AB16" s="90"/>
      <c r="AC16" s="59"/>
      <c r="AD16" s="59"/>
      <c r="AE16" s="59"/>
      <c r="AF16" s="59"/>
      <c r="AG16" s="59"/>
      <c r="AH16" s="59"/>
      <c r="AI16" s="91"/>
      <c r="AJ16" s="90"/>
      <c r="AK16" s="59"/>
      <c r="AL16" s="59"/>
      <c r="AM16" s="59"/>
      <c r="AN16" s="59"/>
      <c r="AO16" s="59"/>
      <c r="AP16" s="59"/>
      <c r="AQ16" s="91"/>
    </row>
    <row r="17" spans="2:43">
      <c r="B17" s="76"/>
      <c r="C17" s="76"/>
      <c r="D17" s="90"/>
      <c r="E17" s="59"/>
      <c r="F17" s="59"/>
      <c r="G17" s="59"/>
      <c r="H17" s="59"/>
      <c r="I17" s="59"/>
      <c r="J17" s="59"/>
      <c r="K17" s="91"/>
      <c r="L17" s="90"/>
      <c r="M17" s="59"/>
      <c r="N17" s="59"/>
      <c r="O17" s="59"/>
      <c r="P17" s="59"/>
      <c r="Q17" s="59"/>
      <c r="R17" s="59"/>
      <c r="S17" s="91"/>
      <c r="T17" s="90"/>
      <c r="U17" s="59"/>
      <c r="V17" s="59"/>
      <c r="W17" s="59"/>
      <c r="X17" s="59"/>
      <c r="Y17" s="59"/>
      <c r="Z17" s="59"/>
      <c r="AA17" s="91"/>
      <c r="AB17" s="90"/>
      <c r="AC17" s="59"/>
      <c r="AD17" s="59"/>
      <c r="AE17" s="59"/>
      <c r="AF17" s="59"/>
      <c r="AG17" s="59"/>
      <c r="AH17" s="59"/>
      <c r="AI17" s="91"/>
      <c r="AJ17" s="90"/>
      <c r="AK17" s="59"/>
      <c r="AL17" s="59"/>
      <c r="AM17" s="59"/>
      <c r="AN17" s="59"/>
      <c r="AO17" s="59"/>
      <c r="AP17" s="59"/>
      <c r="AQ17" s="91"/>
    </row>
    <row r="18" spans="2:43">
      <c r="B18" s="76"/>
      <c r="C18" s="76"/>
      <c r="D18" s="90"/>
      <c r="E18" s="59"/>
      <c r="F18" s="59"/>
      <c r="G18" s="59"/>
      <c r="H18" s="59"/>
      <c r="I18" s="59"/>
      <c r="J18" s="59"/>
      <c r="K18" s="91"/>
      <c r="L18" s="90"/>
      <c r="M18" s="59"/>
      <c r="N18" s="59"/>
      <c r="O18" s="59"/>
      <c r="P18" s="59"/>
      <c r="Q18" s="59"/>
      <c r="R18" s="59"/>
      <c r="S18" s="91"/>
      <c r="T18" s="90"/>
      <c r="U18" s="59"/>
      <c r="V18" s="59"/>
      <c r="W18" s="59"/>
      <c r="X18" s="59"/>
      <c r="Y18" s="59"/>
      <c r="Z18" s="59"/>
      <c r="AA18" s="91"/>
      <c r="AB18" s="90"/>
      <c r="AC18" s="59"/>
      <c r="AD18" s="59"/>
      <c r="AE18" s="59"/>
      <c r="AF18" s="59"/>
      <c r="AG18" s="59"/>
      <c r="AH18" s="59"/>
      <c r="AI18" s="91"/>
      <c r="AJ18" s="90"/>
      <c r="AK18" s="59"/>
      <c r="AL18" s="59"/>
      <c r="AM18" s="59"/>
      <c r="AN18" s="59"/>
      <c r="AO18" s="59"/>
      <c r="AP18" s="59"/>
      <c r="AQ18" s="91"/>
    </row>
    <row r="19" spans="2:43">
      <c r="B19" s="76"/>
      <c r="C19" s="76"/>
      <c r="D19" s="90"/>
      <c r="E19" s="59"/>
      <c r="F19" s="59"/>
      <c r="G19" s="59"/>
      <c r="H19" s="59"/>
      <c r="I19" s="59"/>
      <c r="J19" s="59"/>
      <c r="K19" s="91"/>
      <c r="L19" s="90"/>
      <c r="M19" s="59"/>
      <c r="N19" s="59"/>
      <c r="O19" s="59"/>
      <c r="P19" s="59"/>
      <c r="Q19" s="59"/>
      <c r="R19" s="59"/>
      <c r="S19" s="91"/>
      <c r="T19" s="90"/>
      <c r="U19" s="59"/>
      <c r="V19" s="59"/>
      <c r="W19" s="59"/>
      <c r="X19" s="59"/>
      <c r="Y19" s="59"/>
      <c r="Z19" s="59"/>
      <c r="AA19" s="91"/>
      <c r="AB19" s="90"/>
      <c r="AC19" s="59"/>
      <c r="AD19" s="59"/>
      <c r="AE19" s="59"/>
      <c r="AF19" s="59"/>
      <c r="AG19" s="59"/>
      <c r="AH19" s="59"/>
      <c r="AI19" s="91"/>
      <c r="AJ19" s="90"/>
      <c r="AK19" s="59"/>
      <c r="AL19" s="59"/>
      <c r="AM19" s="59"/>
      <c r="AN19" s="59"/>
      <c r="AO19" s="59"/>
      <c r="AP19" s="59"/>
      <c r="AQ19" s="91"/>
    </row>
    <row r="20" spans="2:43">
      <c r="B20" s="76"/>
      <c r="C20" s="76"/>
      <c r="D20" s="90"/>
      <c r="E20" s="59"/>
      <c r="F20" s="59"/>
      <c r="G20" s="59"/>
      <c r="H20" s="59"/>
      <c r="I20" s="59"/>
      <c r="J20" s="59"/>
      <c r="K20" s="91"/>
      <c r="L20" s="90"/>
      <c r="M20" s="59"/>
      <c r="N20" s="59"/>
      <c r="O20" s="59"/>
      <c r="P20" s="59"/>
      <c r="Q20" s="59"/>
      <c r="R20" s="59"/>
      <c r="S20" s="91"/>
      <c r="T20" s="90"/>
      <c r="U20" s="59"/>
      <c r="V20" s="59"/>
      <c r="W20" s="59"/>
      <c r="X20" s="59"/>
      <c r="Y20" s="59"/>
      <c r="Z20" s="59"/>
      <c r="AA20" s="91"/>
      <c r="AB20" s="90"/>
      <c r="AC20" s="59"/>
      <c r="AD20" s="59"/>
      <c r="AE20" s="59"/>
      <c r="AF20" s="59"/>
      <c r="AG20" s="59"/>
      <c r="AH20" s="59"/>
      <c r="AI20" s="91"/>
      <c r="AJ20" s="90"/>
      <c r="AK20" s="59"/>
      <c r="AL20" s="59"/>
      <c r="AM20" s="59"/>
      <c r="AN20" s="59"/>
      <c r="AO20" s="59"/>
      <c r="AP20" s="59"/>
      <c r="AQ20" s="91"/>
    </row>
    <row r="21" spans="2:43">
      <c r="B21" s="76"/>
      <c r="C21" s="76"/>
      <c r="D21" s="90"/>
      <c r="E21" s="59"/>
      <c r="F21" s="59"/>
      <c r="G21" s="59"/>
      <c r="H21" s="59"/>
      <c r="I21" s="59"/>
      <c r="J21" s="59"/>
      <c r="K21" s="91"/>
      <c r="L21" s="90"/>
      <c r="M21" s="59"/>
      <c r="N21" s="59"/>
      <c r="O21" s="59"/>
      <c r="P21" s="59"/>
      <c r="Q21" s="59"/>
      <c r="R21" s="59"/>
      <c r="S21" s="91"/>
      <c r="T21" s="90"/>
      <c r="U21" s="59"/>
      <c r="V21" s="59"/>
      <c r="W21" s="59"/>
      <c r="X21" s="59"/>
      <c r="Y21" s="59"/>
      <c r="Z21" s="59"/>
      <c r="AA21" s="91"/>
      <c r="AB21" s="90"/>
      <c r="AC21" s="59"/>
      <c r="AD21" s="59"/>
      <c r="AE21" s="59"/>
      <c r="AF21" s="59"/>
      <c r="AG21" s="59"/>
      <c r="AH21" s="59"/>
      <c r="AI21" s="91"/>
      <c r="AJ21" s="90"/>
      <c r="AK21" s="59"/>
      <c r="AL21" s="59"/>
      <c r="AM21" s="59"/>
      <c r="AN21" s="59"/>
      <c r="AO21" s="59"/>
      <c r="AP21" s="59"/>
      <c r="AQ21" s="91"/>
    </row>
    <row r="22" spans="2:43">
      <c r="B22" s="76"/>
      <c r="C22" s="76"/>
      <c r="D22" s="90"/>
      <c r="E22" s="59"/>
      <c r="F22" s="59"/>
      <c r="G22" s="59"/>
      <c r="H22" s="59"/>
      <c r="I22" s="59"/>
      <c r="J22" s="59"/>
      <c r="K22" s="91"/>
      <c r="L22" s="90"/>
      <c r="M22" s="59"/>
      <c r="N22" s="59"/>
      <c r="O22" s="59"/>
      <c r="P22" s="59"/>
      <c r="Q22" s="59"/>
      <c r="R22" s="59"/>
      <c r="S22" s="91"/>
      <c r="T22" s="90"/>
      <c r="U22" s="59"/>
      <c r="V22" s="59"/>
      <c r="W22" s="59"/>
      <c r="X22" s="59"/>
      <c r="Y22" s="59"/>
      <c r="Z22" s="59"/>
      <c r="AA22" s="91"/>
      <c r="AB22" s="90"/>
      <c r="AC22" s="59"/>
      <c r="AD22" s="59"/>
      <c r="AE22" s="59"/>
      <c r="AF22" s="59"/>
      <c r="AG22" s="59"/>
      <c r="AH22" s="59"/>
      <c r="AI22" s="91"/>
      <c r="AJ22" s="90"/>
      <c r="AK22" s="59"/>
      <c r="AL22" s="59"/>
      <c r="AM22" s="59"/>
      <c r="AN22" s="59"/>
      <c r="AO22" s="59"/>
      <c r="AP22" s="59"/>
      <c r="AQ22" s="91"/>
    </row>
    <row r="23" spans="2:43">
      <c r="B23" s="76"/>
      <c r="C23" s="76"/>
      <c r="D23" s="90"/>
      <c r="E23" s="59"/>
      <c r="F23" s="59"/>
      <c r="G23" s="59"/>
      <c r="H23" s="59"/>
      <c r="I23" s="59"/>
      <c r="J23" s="59"/>
      <c r="K23" s="91"/>
      <c r="L23" s="90"/>
      <c r="M23" s="59"/>
      <c r="N23" s="59"/>
      <c r="O23" s="59"/>
      <c r="P23" s="59"/>
      <c r="Q23" s="59"/>
      <c r="R23" s="59"/>
      <c r="S23" s="91"/>
      <c r="T23" s="90"/>
      <c r="U23" s="59"/>
      <c r="V23" s="59"/>
      <c r="W23" s="59"/>
      <c r="X23" s="59"/>
      <c r="Y23" s="59"/>
      <c r="Z23" s="59"/>
      <c r="AA23" s="91"/>
      <c r="AB23" s="90"/>
      <c r="AC23" s="59"/>
      <c r="AD23" s="59"/>
      <c r="AE23" s="59"/>
      <c r="AF23" s="59"/>
      <c r="AG23" s="59"/>
      <c r="AH23" s="59"/>
      <c r="AI23" s="91"/>
      <c r="AJ23" s="90"/>
      <c r="AK23" s="59"/>
      <c r="AL23" s="59"/>
      <c r="AM23" s="59"/>
      <c r="AN23" s="59"/>
      <c r="AO23" s="59"/>
      <c r="AP23" s="59"/>
      <c r="AQ23" s="91"/>
    </row>
    <row r="24" spans="2:43">
      <c r="B24" s="76"/>
      <c r="C24" s="76"/>
      <c r="D24" s="90"/>
      <c r="E24" s="59"/>
      <c r="F24" s="59"/>
      <c r="G24" s="59"/>
      <c r="H24" s="59"/>
      <c r="I24" s="59"/>
      <c r="J24" s="59"/>
      <c r="K24" s="91"/>
      <c r="L24" s="90"/>
      <c r="M24" s="59"/>
      <c r="N24" s="59"/>
      <c r="O24" s="59"/>
      <c r="P24" s="59"/>
      <c r="Q24" s="59"/>
      <c r="R24" s="59"/>
      <c r="S24" s="91"/>
      <c r="T24" s="90"/>
      <c r="U24" s="59"/>
      <c r="V24" s="59"/>
      <c r="W24" s="59"/>
      <c r="X24" s="59"/>
      <c r="Y24" s="59"/>
      <c r="Z24" s="59"/>
      <c r="AA24" s="91"/>
      <c r="AB24" s="90"/>
      <c r="AC24" s="59"/>
      <c r="AD24" s="59"/>
      <c r="AE24" s="59"/>
      <c r="AF24" s="59"/>
      <c r="AG24" s="59"/>
      <c r="AH24" s="59"/>
      <c r="AI24" s="91"/>
      <c r="AJ24" s="90"/>
      <c r="AK24" s="59"/>
      <c r="AL24" s="59"/>
      <c r="AM24" s="59"/>
      <c r="AN24" s="59"/>
      <c r="AO24" s="59"/>
      <c r="AP24" s="59"/>
      <c r="AQ24" s="91"/>
    </row>
    <row r="25" spans="2:43">
      <c r="B25" s="76"/>
      <c r="C25" s="76"/>
      <c r="D25" s="90"/>
      <c r="E25" s="59"/>
      <c r="F25" s="59"/>
      <c r="G25" s="59"/>
      <c r="H25" s="59"/>
      <c r="I25" s="59"/>
      <c r="J25" s="59"/>
      <c r="K25" s="91"/>
      <c r="L25" s="90"/>
      <c r="M25" s="59"/>
      <c r="N25" s="59"/>
      <c r="O25" s="59"/>
      <c r="P25" s="59"/>
      <c r="Q25" s="59"/>
      <c r="R25" s="59"/>
      <c r="S25" s="91"/>
      <c r="T25" s="90"/>
      <c r="U25" s="59"/>
      <c r="V25" s="59"/>
      <c r="W25" s="59"/>
      <c r="X25" s="59"/>
      <c r="Y25" s="59"/>
      <c r="Z25" s="59"/>
      <c r="AA25" s="91"/>
      <c r="AB25" s="90"/>
      <c r="AC25" s="59"/>
      <c r="AD25" s="59"/>
      <c r="AE25" s="59"/>
      <c r="AF25" s="59"/>
      <c r="AG25" s="59"/>
      <c r="AH25" s="59"/>
      <c r="AI25" s="91"/>
      <c r="AJ25" s="90"/>
      <c r="AK25" s="59"/>
      <c r="AL25" s="59"/>
      <c r="AM25" s="59"/>
      <c r="AN25" s="59"/>
      <c r="AO25" s="59"/>
      <c r="AP25" s="59"/>
      <c r="AQ25" s="91"/>
    </row>
    <row r="26" spans="2:43">
      <c r="B26" s="76"/>
      <c r="C26" s="76"/>
      <c r="D26" s="90"/>
      <c r="E26" s="59"/>
      <c r="F26" s="59"/>
      <c r="G26" s="59"/>
      <c r="H26" s="59"/>
      <c r="I26" s="59"/>
      <c r="J26" s="59"/>
      <c r="K26" s="91"/>
      <c r="L26" s="90"/>
      <c r="M26" s="59"/>
      <c r="N26" s="59"/>
      <c r="O26" s="59"/>
      <c r="P26" s="59"/>
      <c r="Q26" s="59"/>
      <c r="R26" s="59"/>
      <c r="S26" s="91"/>
      <c r="T26" s="90"/>
      <c r="U26" s="59"/>
      <c r="V26" s="59"/>
      <c r="W26" s="59"/>
      <c r="X26" s="59"/>
      <c r="Y26" s="59"/>
      <c r="Z26" s="59"/>
      <c r="AA26" s="91"/>
      <c r="AB26" s="90"/>
      <c r="AC26" s="59"/>
      <c r="AD26" s="59"/>
      <c r="AE26" s="59"/>
      <c r="AF26" s="59"/>
      <c r="AG26" s="59"/>
      <c r="AH26" s="59"/>
      <c r="AI26" s="91"/>
      <c r="AJ26" s="90"/>
      <c r="AK26" s="59"/>
      <c r="AL26" s="59"/>
      <c r="AM26" s="59"/>
      <c r="AN26" s="59"/>
      <c r="AO26" s="59"/>
      <c r="AP26" s="59"/>
      <c r="AQ26" s="91"/>
    </row>
    <row r="27" spans="2:43">
      <c r="B27" s="76"/>
      <c r="C27" s="76"/>
      <c r="D27" s="90"/>
      <c r="E27" s="59"/>
      <c r="F27" s="59"/>
      <c r="G27" s="59"/>
      <c r="H27" s="59"/>
      <c r="I27" s="59"/>
      <c r="J27" s="59"/>
      <c r="K27" s="91"/>
      <c r="L27" s="90"/>
      <c r="M27" s="59"/>
      <c r="N27" s="59"/>
      <c r="O27" s="59"/>
      <c r="P27" s="59"/>
      <c r="Q27" s="59"/>
      <c r="R27" s="59"/>
      <c r="S27" s="91"/>
      <c r="T27" s="90"/>
      <c r="U27" s="59"/>
      <c r="V27" s="59"/>
      <c r="W27" s="59"/>
      <c r="X27" s="59"/>
      <c r="Y27" s="59"/>
      <c r="Z27" s="59"/>
      <c r="AA27" s="91"/>
      <c r="AB27" s="90"/>
      <c r="AC27" s="59"/>
      <c r="AD27" s="59"/>
      <c r="AE27" s="59"/>
      <c r="AF27" s="59"/>
      <c r="AG27" s="59"/>
      <c r="AH27" s="59"/>
      <c r="AI27" s="91"/>
      <c r="AJ27" s="90"/>
      <c r="AK27" s="59"/>
      <c r="AL27" s="59"/>
      <c r="AM27" s="59"/>
      <c r="AN27" s="59"/>
      <c r="AO27" s="59"/>
      <c r="AP27" s="59"/>
      <c r="AQ27" s="91"/>
    </row>
    <row r="28" spans="2:43">
      <c r="B28" s="76"/>
      <c r="C28" s="76"/>
      <c r="D28" s="90"/>
      <c r="E28" s="59"/>
      <c r="F28" s="59"/>
      <c r="G28" s="59"/>
      <c r="H28" s="59"/>
      <c r="I28" s="59"/>
      <c r="J28" s="59"/>
      <c r="K28" s="91"/>
      <c r="L28" s="90"/>
      <c r="M28" s="59"/>
      <c r="N28" s="59"/>
      <c r="O28" s="59"/>
      <c r="P28" s="59"/>
      <c r="Q28" s="59"/>
      <c r="R28" s="59"/>
      <c r="S28" s="91"/>
      <c r="T28" s="90"/>
      <c r="U28" s="59"/>
      <c r="V28" s="59"/>
      <c r="W28" s="59"/>
      <c r="X28" s="59"/>
      <c r="Y28" s="59"/>
      <c r="Z28" s="59"/>
      <c r="AA28" s="91"/>
      <c r="AB28" s="90"/>
      <c r="AC28" s="59"/>
      <c r="AD28" s="59"/>
      <c r="AE28" s="59"/>
      <c r="AF28" s="59"/>
      <c r="AG28" s="59"/>
      <c r="AH28" s="59"/>
      <c r="AI28" s="91"/>
      <c r="AJ28" s="90"/>
      <c r="AK28" s="59"/>
      <c r="AL28" s="59"/>
      <c r="AM28" s="59"/>
      <c r="AN28" s="59"/>
      <c r="AO28" s="59"/>
      <c r="AP28" s="59"/>
      <c r="AQ28" s="91"/>
    </row>
    <row r="29" spans="2:43">
      <c r="B29" s="76"/>
      <c r="C29" s="76"/>
      <c r="D29" s="90"/>
      <c r="E29" s="59"/>
      <c r="F29" s="59"/>
      <c r="G29" s="59"/>
      <c r="H29" s="59"/>
      <c r="I29" s="59"/>
      <c r="J29" s="59"/>
      <c r="K29" s="91"/>
      <c r="L29" s="90"/>
      <c r="M29" s="59"/>
      <c r="N29" s="59"/>
      <c r="O29" s="59"/>
      <c r="P29" s="59"/>
      <c r="Q29" s="59"/>
      <c r="R29" s="59"/>
      <c r="S29" s="91"/>
      <c r="T29" s="90"/>
      <c r="U29" s="59"/>
      <c r="V29" s="59"/>
      <c r="W29" s="59"/>
      <c r="X29" s="59"/>
      <c r="Y29" s="59"/>
      <c r="Z29" s="59"/>
      <c r="AA29" s="91"/>
      <c r="AB29" s="90"/>
      <c r="AC29" s="59"/>
      <c r="AD29" s="59"/>
      <c r="AE29" s="59"/>
      <c r="AF29" s="59"/>
      <c r="AG29" s="59"/>
      <c r="AH29" s="59"/>
      <c r="AI29" s="91"/>
      <c r="AJ29" s="90"/>
      <c r="AK29" s="59"/>
      <c r="AL29" s="59"/>
      <c r="AM29" s="59"/>
      <c r="AN29" s="59"/>
      <c r="AO29" s="59"/>
      <c r="AP29" s="59"/>
      <c r="AQ29" s="91"/>
    </row>
    <row r="30" spans="2:43">
      <c r="B30" s="395" t="s">
        <v>95</v>
      </c>
      <c r="C30" s="396"/>
      <c r="D30" s="82">
        <v>2015</v>
      </c>
      <c r="E30" s="23">
        <v>2025</v>
      </c>
      <c r="F30" s="23">
        <v>2035</v>
      </c>
      <c r="G30" s="24">
        <v>2050</v>
      </c>
      <c r="H30" s="59"/>
      <c r="I30" s="59"/>
      <c r="J30" s="59"/>
      <c r="K30" s="91"/>
      <c r="L30" s="82">
        <v>2015</v>
      </c>
      <c r="M30" s="23">
        <v>2025</v>
      </c>
      <c r="N30" s="23">
        <v>2035</v>
      </c>
      <c r="O30" s="24">
        <v>2050</v>
      </c>
      <c r="P30" s="59"/>
      <c r="Q30" s="59"/>
      <c r="R30" s="59"/>
      <c r="S30" s="91"/>
      <c r="T30" s="82">
        <v>2015</v>
      </c>
      <c r="U30" s="23">
        <v>2025</v>
      </c>
      <c r="V30" s="23">
        <v>2035</v>
      </c>
      <c r="W30" s="24">
        <v>2050</v>
      </c>
      <c r="X30" s="59"/>
      <c r="Y30" s="59"/>
      <c r="Z30" s="59"/>
      <c r="AA30" s="91"/>
      <c r="AB30" s="82">
        <v>2015</v>
      </c>
      <c r="AC30" s="23">
        <v>2025</v>
      </c>
      <c r="AD30" s="23">
        <v>2035</v>
      </c>
      <c r="AE30" s="24">
        <v>2050</v>
      </c>
      <c r="AF30" s="59"/>
      <c r="AG30" s="59"/>
      <c r="AH30" s="59"/>
      <c r="AI30" s="91"/>
      <c r="AJ30" s="82">
        <v>2015</v>
      </c>
      <c r="AK30" s="23">
        <v>2025</v>
      </c>
      <c r="AL30" s="23">
        <v>2035</v>
      </c>
      <c r="AM30" s="24">
        <v>2050</v>
      </c>
      <c r="AN30" s="59"/>
      <c r="AO30" s="59"/>
      <c r="AP30" s="59"/>
      <c r="AQ30" s="91"/>
    </row>
    <row r="31" spans="2:43">
      <c r="B31" s="397"/>
      <c r="C31" s="398"/>
      <c r="D31" s="92">
        <f>D10-H10</f>
        <v>0.35259068488366907</v>
      </c>
      <c r="E31" s="77">
        <f>E10-I10</f>
        <v>1.2849971626871515</v>
      </c>
      <c r="F31" s="77">
        <f>F10-J10</f>
        <v>2.6953599022218313</v>
      </c>
      <c r="G31" s="78">
        <f>G10-K10</f>
        <v>4.5053254179580087</v>
      </c>
      <c r="H31" s="393" t="s">
        <v>83</v>
      </c>
      <c r="I31" s="393"/>
      <c r="J31" s="393"/>
      <c r="K31" s="394"/>
      <c r="L31" s="92">
        <f>L10-P10</f>
        <v>7.8353485529703448E-2</v>
      </c>
      <c r="M31" s="77">
        <f>M10-Q10</f>
        <v>0.54063905015495983</v>
      </c>
      <c r="N31" s="77">
        <f>N10-R10</f>
        <v>1.002924614780218</v>
      </c>
      <c r="O31" s="78">
        <f>O10-S10</f>
        <v>1.7864594700772614</v>
      </c>
      <c r="P31" s="393" t="s">
        <v>83</v>
      </c>
      <c r="Q31" s="393"/>
      <c r="R31" s="393"/>
      <c r="S31" s="394"/>
      <c r="T31" s="92">
        <f>T10-X10</f>
        <v>-3.134139421188209E-2</v>
      </c>
      <c r="U31" s="77">
        <f>U10-Y10</f>
        <v>0.43094417041337429</v>
      </c>
      <c r="V31" s="77">
        <f>V10-Z10</f>
        <v>4.3877951896634517</v>
      </c>
      <c r="W31" s="78">
        <f>W10-AA10</f>
        <v>8.1879392378541187</v>
      </c>
      <c r="X31" s="393" t="s">
        <v>83</v>
      </c>
      <c r="Y31" s="393"/>
      <c r="Z31" s="393"/>
      <c r="AA31" s="394"/>
      <c r="AB31" s="92">
        <f>AB10-AF10</f>
        <v>0.17237766816534972</v>
      </c>
      <c r="AC31" s="77">
        <f>AC10-AG10</f>
        <v>0.86188834082674859</v>
      </c>
      <c r="AD31" s="77">
        <f>AD10-AH10</f>
        <v>1.2614911170282426</v>
      </c>
      <c r="AE31" s="78">
        <f>AE10-AI10</f>
        <v>1.3085032083460648</v>
      </c>
      <c r="AF31" s="393" t="s">
        <v>83</v>
      </c>
      <c r="AG31" s="393"/>
      <c r="AH31" s="393"/>
      <c r="AI31" s="394"/>
      <c r="AJ31" s="92">
        <f>AJ10-AN10</f>
        <v>8.6188834082674859E-2</v>
      </c>
      <c r="AK31" s="77">
        <f>AK10-AO10</f>
        <v>0.32124929067178831</v>
      </c>
      <c r="AL31" s="77">
        <f>AL10-AP10</f>
        <v>0.52496835304902001</v>
      </c>
      <c r="AM31" s="78">
        <f>AM10-AQ10</f>
        <v>0.76786415819110387</v>
      </c>
      <c r="AN31" s="393" t="s">
        <v>83</v>
      </c>
      <c r="AO31" s="393"/>
      <c r="AP31" s="393"/>
      <c r="AQ31" s="394"/>
    </row>
    <row r="32" spans="2:43">
      <c r="B32" s="397"/>
      <c r="C32" s="398"/>
      <c r="D32" s="93">
        <f>D31*1000</f>
        <v>352.59068488366904</v>
      </c>
      <c r="E32" s="79">
        <f t="shared" ref="E32:G32" si="0">E31*1000</f>
        <v>1284.9971626871516</v>
      </c>
      <c r="F32" s="79">
        <f t="shared" si="0"/>
        <v>2695.3599022218314</v>
      </c>
      <c r="G32" s="80">
        <f t="shared" si="0"/>
        <v>4505.325417958009</v>
      </c>
      <c r="H32" s="393" t="s">
        <v>84</v>
      </c>
      <c r="I32" s="393"/>
      <c r="J32" s="393"/>
      <c r="K32" s="394"/>
      <c r="L32" s="93">
        <f>L31*1000</f>
        <v>78.353485529703448</v>
      </c>
      <c r="M32" s="79">
        <f t="shared" ref="M32" si="1">M31*1000</f>
        <v>540.63905015495982</v>
      </c>
      <c r="N32" s="79">
        <f t="shared" ref="N32" si="2">N31*1000</f>
        <v>1002.924614780218</v>
      </c>
      <c r="O32" s="80">
        <f t="shared" ref="O32" si="3">O31*1000</f>
        <v>1786.4594700772614</v>
      </c>
      <c r="P32" s="393" t="s">
        <v>84</v>
      </c>
      <c r="Q32" s="393"/>
      <c r="R32" s="393"/>
      <c r="S32" s="394"/>
      <c r="T32" s="93">
        <v>0</v>
      </c>
      <c r="U32" s="79">
        <f t="shared" ref="U32" si="4">U31*1000</f>
        <v>430.94417041337431</v>
      </c>
      <c r="V32" s="79">
        <f t="shared" ref="V32" si="5">V31*1000</f>
        <v>4387.7951896634513</v>
      </c>
      <c r="W32" s="80">
        <f t="shared" ref="W32" si="6">W31*1000</f>
        <v>8187.9392378541188</v>
      </c>
      <c r="X32" s="393" t="s">
        <v>84</v>
      </c>
      <c r="Y32" s="393"/>
      <c r="Z32" s="393"/>
      <c r="AA32" s="394"/>
      <c r="AB32" s="93">
        <f>AB31*1000</f>
        <v>172.37766816534972</v>
      </c>
      <c r="AC32" s="79">
        <f t="shared" ref="AC32" si="7">AC31*1000</f>
        <v>861.88834082674862</v>
      </c>
      <c r="AD32" s="79">
        <f t="shared" ref="AD32" si="8">AD31*1000</f>
        <v>1261.4911170282426</v>
      </c>
      <c r="AE32" s="80">
        <f t="shared" ref="AE32" si="9">AE31*1000</f>
        <v>1308.5032083460649</v>
      </c>
      <c r="AF32" s="393" t="s">
        <v>84</v>
      </c>
      <c r="AG32" s="393"/>
      <c r="AH32" s="393"/>
      <c r="AI32" s="394"/>
      <c r="AJ32" s="93">
        <f>AJ31*1000</f>
        <v>86.188834082674859</v>
      </c>
      <c r="AK32" s="79">
        <f t="shared" ref="AK32" si="10">AK31*1000</f>
        <v>321.24929067178829</v>
      </c>
      <c r="AL32" s="79">
        <f t="shared" ref="AL32" si="11">AL31*1000</f>
        <v>524.96835304902004</v>
      </c>
      <c r="AM32" s="80">
        <f t="shared" ref="AM32" si="12">AM31*1000</f>
        <v>767.86415819110391</v>
      </c>
      <c r="AN32" s="393" t="s">
        <v>84</v>
      </c>
      <c r="AO32" s="393"/>
      <c r="AP32" s="393"/>
      <c r="AQ32" s="394"/>
    </row>
    <row r="33" spans="2:43">
      <c r="B33" s="397"/>
      <c r="C33" s="398"/>
      <c r="D33" s="90"/>
      <c r="E33" s="59"/>
      <c r="F33" s="59"/>
      <c r="G33" s="59"/>
      <c r="H33" s="59"/>
      <c r="I33" s="59"/>
      <c r="J33" s="59"/>
      <c r="K33" s="91"/>
      <c r="L33" s="90"/>
      <c r="M33" s="59"/>
      <c r="N33" s="59"/>
      <c r="O33" s="59"/>
      <c r="P33" s="59"/>
      <c r="Q33" s="59"/>
      <c r="R33" s="59"/>
      <c r="S33" s="91"/>
      <c r="T33" s="90"/>
      <c r="U33" s="59"/>
      <c r="V33" s="59"/>
      <c r="W33" s="59"/>
      <c r="X33" s="59"/>
      <c r="Y33" s="59"/>
      <c r="Z33" s="59"/>
      <c r="AA33" s="91"/>
      <c r="AB33" s="90"/>
      <c r="AC33" s="59"/>
      <c r="AD33" s="59"/>
      <c r="AE33" s="59"/>
      <c r="AF33" s="59"/>
      <c r="AG33" s="59"/>
      <c r="AH33" s="59"/>
      <c r="AI33" s="91"/>
      <c r="AJ33" s="90"/>
      <c r="AK33" s="59"/>
      <c r="AL33" s="59"/>
      <c r="AM33" s="59"/>
      <c r="AN33" s="59"/>
      <c r="AO33" s="59"/>
      <c r="AP33" s="59"/>
      <c r="AQ33" s="91"/>
    </row>
    <row r="34" spans="2:43">
      <c r="B34" s="397"/>
      <c r="C34" s="398"/>
      <c r="D34" s="90"/>
      <c r="E34" s="59"/>
      <c r="F34" s="59"/>
      <c r="G34" s="59"/>
      <c r="H34" s="59"/>
      <c r="I34" s="59"/>
      <c r="J34" s="59"/>
      <c r="K34" s="91"/>
      <c r="L34" s="90"/>
      <c r="M34" s="59"/>
      <c r="N34" s="59"/>
      <c r="O34" s="59"/>
      <c r="P34" s="59"/>
      <c r="Q34" s="59"/>
      <c r="R34" s="59"/>
      <c r="S34" s="91"/>
      <c r="T34" s="90"/>
      <c r="U34" s="59"/>
      <c r="V34" s="59"/>
      <c r="W34" s="59"/>
      <c r="X34" s="59"/>
      <c r="Y34" s="59"/>
      <c r="Z34" s="59"/>
      <c r="AA34" s="91"/>
      <c r="AB34" s="90"/>
      <c r="AC34" s="59"/>
      <c r="AD34" s="59"/>
      <c r="AE34" s="59"/>
      <c r="AF34" s="59"/>
      <c r="AG34" s="59"/>
      <c r="AH34" s="59"/>
      <c r="AI34" s="91"/>
      <c r="AJ34" s="90"/>
      <c r="AK34" s="59"/>
      <c r="AL34" s="59"/>
      <c r="AM34" s="59"/>
      <c r="AN34" s="59"/>
      <c r="AO34" s="59"/>
      <c r="AP34" s="59"/>
      <c r="AQ34" s="91"/>
    </row>
    <row r="35" spans="2:43">
      <c r="B35" s="399"/>
      <c r="C35" s="400"/>
      <c r="D35" s="90"/>
      <c r="E35" s="59"/>
      <c r="F35" s="59"/>
      <c r="G35" s="59"/>
      <c r="H35" s="59"/>
      <c r="I35" s="59"/>
      <c r="J35" s="59"/>
      <c r="K35" s="91"/>
      <c r="L35" s="90"/>
      <c r="M35" s="59"/>
      <c r="N35" s="59"/>
      <c r="O35" s="59"/>
      <c r="P35" s="59"/>
      <c r="Q35" s="59"/>
      <c r="R35" s="59"/>
      <c r="S35" s="91"/>
      <c r="T35" s="90"/>
      <c r="U35" s="59"/>
      <c r="V35" s="59"/>
      <c r="W35" s="59"/>
      <c r="X35" s="59"/>
      <c r="Y35" s="59"/>
      <c r="Z35" s="59"/>
      <c r="AA35" s="91"/>
      <c r="AB35" s="90"/>
      <c r="AC35" s="59"/>
      <c r="AD35" s="59"/>
      <c r="AE35" s="59"/>
      <c r="AF35" s="59"/>
      <c r="AG35" s="59"/>
      <c r="AH35" s="59"/>
      <c r="AI35" s="91"/>
      <c r="AJ35" s="90"/>
      <c r="AK35" s="59"/>
      <c r="AL35" s="59"/>
      <c r="AM35" s="59"/>
      <c r="AN35" s="59"/>
      <c r="AO35" s="59"/>
      <c r="AP35" s="59"/>
      <c r="AQ35" s="91"/>
    </row>
    <row r="36" spans="2:43">
      <c r="D36" s="90"/>
      <c r="E36" s="59"/>
      <c r="F36" s="59"/>
      <c r="G36" s="59"/>
      <c r="H36" s="59"/>
      <c r="I36" s="59"/>
      <c r="J36" s="59"/>
      <c r="K36" s="91"/>
      <c r="L36" s="90"/>
      <c r="M36" s="59"/>
      <c r="N36" s="59"/>
      <c r="O36" s="59"/>
      <c r="P36" s="59"/>
      <c r="Q36" s="59"/>
      <c r="R36" s="59"/>
      <c r="S36" s="91"/>
      <c r="T36" s="90"/>
      <c r="U36" s="59"/>
      <c r="V36" s="59"/>
      <c r="W36" s="59"/>
      <c r="X36" s="59"/>
      <c r="Y36" s="59"/>
      <c r="Z36" s="59"/>
      <c r="AA36" s="91"/>
      <c r="AB36" s="90"/>
      <c r="AC36" s="59"/>
      <c r="AD36" s="59"/>
      <c r="AE36" s="59"/>
      <c r="AF36" s="59"/>
      <c r="AG36" s="59"/>
      <c r="AH36" s="59"/>
      <c r="AI36" s="91"/>
      <c r="AJ36" s="90"/>
      <c r="AK36" s="59"/>
      <c r="AL36" s="59"/>
      <c r="AM36" s="59"/>
      <c r="AN36" s="59"/>
      <c r="AO36" s="59"/>
      <c r="AP36" s="59"/>
      <c r="AQ36" s="91"/>
    </row>
    <row r="37" spans="2:43">
      <c r="D37" s="90"/>
      <c r="E37" s="59"/>
      <c r="F37" s="59"/>
      <c r="G37" s="59"/>
      <c r="H37" s="59"/>
      <c r="I37" s="59"/>
      <c r="J37" s="59"/>
      <c r="K37" s="91"/>
      <c r="L37" s="90"/>
      <c r="M37" s="59"/>
      <c r="N37" s="59"/>
      <c r="O37" s="59"/>
      <c r="P37" s="59"/>
      <c r="Q37" s="59"/>
      <c r="R37" s="59"/>
      <c r="S37" s="91"/>
      <c r="T37" s="90"/>
      <c r="U37" s="59"/>
      <c r="V37" s="59"/>
      <c r="W37" s="59"/>
      <c r="X37" s="59"/>
      <c r="Y37" s="59"/>
      <c r="Z37" s="59"/>
      <c r="AA37" s="91"/>
      <c r="AB37" s="90"/>
      <c r="AC37" s="59"/>
      <c r="AD37" s="59"/>
      <c r="AE37" s="59"/>
      <c r="AF37" s="59"/>
      <c r="AG37" s="59"/>
      <c r="AH37" s="59"/>
      <c r="AI37" s="91"/>
      <c r="AJ37" s="90"/>
      <c r="AK37" s="59"/>
      <c r="AL37" s="59"/>
      <c r="AM37" s="59"/>
      <c r="AN37" s="59"/>
      <c r="AO37" s="59"/>
      <c r="AP37" s="59"/>
      <c r="AQ37" s="91"/>
    </row>
    <row r="38" spans="2:43">
      <c r="D38" s="90"/>
      <c r="E38" s="59"/>
      <c r="F38" s="59"/>
      <c r="G38" s="59"/>
      <c r="H38" s="59"/>
      <c r="I38" s="59"/>
      <c r="J38" s="59"/>
      <c r="K38" s="91"/>
      <c r="L38" s="90"/>
      <c r="M38" s="59"/>
      <c r="N38" s="59"/>
      <c r="O38" s="59"/>
      <c r="P38" s="59"/>
      <c r="Q38" s="59"/>
      <c r="R38" s="59"/>
      <c r="S38" s="91"/>
      <c r="T38" s="90"/>
      <c r="U38" s="59"/>
      <c r="V38" s="59"/>
      <c r="W38" s="59"/>
      <c r="X38" s="59"/>
      <c r="Y38" s="59"/>
      <c r="Z38" s="59"/>
      <c r="AA38" s="91"/>
      <c r="AB38" s="90"/>
      <c r="AC38" s="59"/>
      <c r="AD38" s="59"/>
      <c r="AE38" s="59"/>
      <c r="AF38" s="59"/>
      <c r="AG38" s="59"/>
      <c r="AH38" s="59"/>
      <c r="AI38" s="91"/>
      <c r="AJ38" s="90"/>
      <c r="AK38" s="59"/>
      <c r="AL38" s="59"/>
      <c r="AM38" s="59"/>
      <c r="AN38" s="59"/>
      <c r="AO38" s="59"/>
      <c r="AP38" s="59"/>
      <c r="AQ38" s="91"/>
    </row>
    <row r="39" spans="2:43">
      <c r="D39" s="90"/>
      <c r="E39" s="59"/>
      <c r="F39" s="59"/>
      <c r="G39" s="59"/>
      <c r="H39" s="59"/>
      <c r="I39" s="59"/>
      <c r="J39" s="59"/>
      <c r="K39" s="91"/>
      <c r="L39" s="90"/>
      <c r="M39" s="59"/>
      <c r="N39" s="59"/>
      <c r="O39" s="59"/>
      <c r="P39" s="59"/>
      <c r="Q39" s="59"/>
      <c r="R39" s="59"/>
      <c r="S39" s="91"/>
      <c r="T39" s="90"/>
      <c r="U39" s="59"/>
      <c r="V39" s="59"/>
      <c r="W39" s="59"/>
      <c r="X39" s="59"/>
      <c r="Y39" s="59"/>
      <c r="Z39" s="59"/>
      <c r="AA39" s="91"/>
      <c r="AB39" s="90"/>
      <c r="AC39" s="59"/>
      <c r="AD39" s="59"/>
      <c r="AE39" s="59"/>
      <c r="AF39" s="59"/>
      <c r="AG39" s="59"/>
      <c r="AH39" s="59"/>
      <c r="AI39" s="91"/>
      <c r="AJ39" s="90"/>
      <c r="AK39" s="59"/>
      <c r="AL39" s="59"/>
      <c r="AM39" s="59"/>
      <c r="AN39" s="59"/>
      <c r="AO39" s="59"/>
      <c r="AP39" s="59"/>
      <c r="AQ39" s="91"/>
    </row>
    <row r="40" spans="2:43">
      <c r="D40" s="90"/>
      <c r="E40" s="59"/>
      <c r="F40" s="59"/>
      <c r="G40" s="59"/>
      <c r="H40" s="59"/>
      <c r="I40" s="59"/>
      <c r="J40" s="59"/>
      <c r="K40" s="91"/>
      <c r="L40" s="90"/>
      <c r="M40" s="59"/>
      <c r="N40" s="59"/>
      <c r="O40" s="59"/>
      <c r="P40" s="59"/>
      <c r="Q40" s="59"/>
      <c r="R40" s="59"/>
      <c r="S40" s="91"/>
      <c r="T40" s="90"/>
      <c r="U40" s="59"/>
      <c r="V40" s="59"/>
      <c r="W40" s="59"/>
      <c r="X40" s="59"/>
      <c r="Y40" s="59"/>
      <c r="Z40" s="59"/>
      <c r="AA40" s="91"/>
      <c r="AB40" s="90"/>
      <c r="AC40" s="59"/>
      <c r="AD40" s="59"/>
      <c r="AE40" s="59"/>
      <c r="AF40" s="59"/>
      <c r="AG40" s="59"/>
      <c r="AH40" s="59"/>
      <c r="AI40" s="91"/>
      <c r="AJ40" s="90"/>
      <c r="AK40" s="59"/>
      <c r="AL40" s="59"/>
      <c r="AM40" s="59"/>
      <c r="AN40" s="59"/>
      <c r="AO40" s="59"/>
      <c r="AP40" s="59"/>
      <c r="AQ40" s="91"/>
    </row>
    <row r="41" spans="2:43">
      <c r="D41" s="90"/>
      <c r="E41" s="59"/>
      <c r="F41" s="59"/>
      <c r="G41" s="59"/>
      <c r="H41" s="59"/>
      <c r="I41" s="59"/>
      <c r="J41" s="59"/>
      <c r="K41" s="91"/>
      <c r="L41" s="90"/>
      <c r="M41" s="59"/>
      <c r="N41" s="59"/>
      <c r="O41" s="59"/>
      <c r="P41" s="59"/>
      <c r="Q41" s="59"/>
      <c r="R41" s="59"/>
      <c r="S41" s="91"/>
      <c r="T41" s="90"/>
      <c r="U41" s="59"/>
      <c r="V41" s="59"/>
      <c r="W41" s="59"/>
      <c r="X41" s="59"/>
      <c r="Y41" s="59"/>
      <c r="Z41" s="59"/>
      <c r="AA41" s="91"/>
      <c r="AB41" s="90"/>
      <c r="AC41" s="59"/>
      <c r="AD41" s="59"/>
      <c r="AE41" s="59"/>
      <c r="AF41" s="59"/>
      <c r="AG41" s="59"/>
      <c r="AH41" s="59"/>
      <c r="AI41" s="91"/>
      <c r="AJ41" s="90"/>
      <c r="AK41" s="59"/>
      <c r="AL41" s="59"/>
      <c r="AM41" s="59"/>
      <c r="AN41" s="59"/>
      <c r="AO41" s="59"/>
      <c r="AP41" s="59"/>
      <c r="AQ41" s="91"/>
    </row>
    <row r="42" spans="2:43">
      <c r="D42" s="90"/>
      <c r="E42" s="59"/>
      <c r="F42" s="59"/>
      <c r="G42" s="59"/>
      <c r="H42" s="59"/>
      <c r="I42" s="59"/>
      <c r="J42" s="59"/>
      <c r="K42" s="91"/>
      <c r="L42" s="90"/>
      <c r="M42" s="59"/>
      <c r="N42" s="59"/>
      <c r="O42" s="59"/>
      <c r="P42" s="59"/>
      <c r="Q42" s="59"/>
      <c r="R42" s="59"/>
      <c r="S42" s="91"/>
      <c r="T42" s="90"/>
      <c r="U42" s="59"/>
      <c r="V42" s="59"/>
      <c r="W42" s="59"/>
      <c r="X42" s="59"/>
      <c r="Y42" s="59"/>
      <c r="Z42" s="59"/>
      <c r="AA42" s="91"/>
      <c r="AB42" s="90"/>
      <c r="AC42" s="59"/>
      <c r="AD42" s="59"/>
      <c r="AE42" s="59"/>
      <c r="AF42" s="59"/>
      <c r="AG42" s="59"/>
      <c r="AH42" s="59"/>
      <c r="AI42" s="91"/>
      <c r="AJ42" s="90"/>
      <c r="AK42" s="59"/>
      <c r="AL42" s="59"/>
      <c r="AM42" s="59"/>
      <c r="AN42" s="59"/>
      <c r="AO42" s="59"/>
      <c r="AP42" s="59"/>
      <c r="AQ42" s="91"/>
    </row>
    <row r="43" spans="2:43">
      <c r="D43" s="90"/>
      <c r="E43" s="59"/>
      <c r="F43" s="59"/>
      <c r="G43" s="59"/>
      <c r="H43" s="59"/>
      <c r="I43" s="59"/>
      <c r="J43" s="59"/>
      <c r="K43" s="91"/>
      <c r="L43" s="90"/>
      <c r="M43" s="59"/>
      <c r="N43" s="59"/>
      <c r="O43" s="59"/>
      <c r="P43" s="59"/>
      <c r="Q43" s="59"/>
      <c r="R43" s="59"/>
      <c r="S43" s="91"/>
      <c r="T43" s="90"/>
      <c r="U43" s="59"/>
      <c r="V43" s="59"/>
      <c r="W43" s="59"/>
      <c r="X43" s="59"/>
      <c r="Y43" s="59"/>
      <c r="Z43" s="59"/>
      <c r="AA43" s="91"/>
      <c r="AB43" s="90"/>
      <c r="AC43" s="59"/>
      <c r="AD43" s="59"/>
      <c r="AE43" s="59"/>
      <c r="AF43" s="59"/>
      <c r="AG43" s="59"/>
      <c r="AH43" s="59"/>
      <c r="AI43" s="91"/>
      <c r="AJ43" s="90"/>
      <c r="AK43" s="59"/>
      <c r="AL43" s="59"/>
      <c r="AM43" s="59"/>
      <c r="AN43" s="59"/>
      <c r="AO43" s="59"/>
      <c r="AP43" s="59"/>
      <c r="AQ43" s="91"/>
    </row>
    <row r="44" spans="2:43">
      <c r="D44" s="90"/>
      <c r="E44" s="59"/>
      <c r="F44" s="59"/>
      <c r="G44" s="59"/>
      <c r="H44" s="59"/>
      <c r="I44" s="59"/>
      <c r="J44" s="59"/>
      <c r="K44" s="91"/>
      <c r="L44" s="90"/>
      <c r="M44" s="59"/>
      <c r="N44" s="59"/>
      <c r="O44" s="59"/>
      <c r="P44" s="59"/>
      <c r="Q44" s="59"/>
      <c r="R44" s="59"/>
      <c r="S44" s="91"/>
      <c r="T44" s="90"/>
      <c r="U44" s="59"/>
      <c r="V44" s="59"/>
      <c r="W44" s="59"/>
      <c r="X44" s="59"/>
      <c r="Y44" s="59"/>
      <c r="Z44" s="59"/>
      <c r="AA44" s="91"/>
      <c r="AB44" s="90"/>
      <c r="AC44" s="59"/>
      <c r="AD44" s="59"/>
      <c r="AE44" s="59"/>
      <c r="AF44" s="59"/>
      <c r="AG44" s="59"/>
      <c r="AH44" s="59"/>
      <c r="AI44" s="91"/>
      <c r="AJ44" s="90"/>
      <c r="AK44" s="59"/>
      <c r="AL44" s="59"/>
      <c r="AM44" s="59"/>
      <c r="AN44" s="59"/>
      <c r="AO44" s="59"/>
      <c r="AP44" s="59"/>
      <c r="AQ44" s="91"/>
    </row>
    <row r="45" spans="2:43">
      <c r="D45" s="90"/>
      <c r="E45" s="59"/>
      <c r="F45" s="59"/>
      <c r="G45" s="59"/>
      <c r="H45" s="59"/>
      <c r="I45" s="59"/>
      <c r="J45" s="59"/>
      <c r="K45" s="91"/>
      <c r="L45" s="90"/>
      <c r="M45" s="59"/>
      <c r="N45" s="59"/>
      <c r="O45" s="59"/>
      <c r="P45" s="59"/>
      <c r="Q45" s="59"/>
      <c r="R45" s="59"/>
      <c r="S45" s="91"/>
      <c r="T45" s="90"/>
      <c r="U45" s="59"/>
      <c r="V45" s="59"/>
      <c r="W45" s="59"/>
      <c r="X45" s="59"/>
      <c r="Y45" s="59"/>
      <c r="Z45" s="59"/>
      <c r="AA45" s="91"/>
      <c r="AB45" s="90"/>
      <c r="AC45" s="59"/>
      <c r="AD45" s="59"/>
      <c r="AE45" s="59"/>
      <c r="AF45" s="59"/>
      <c r="AG45" s="59"/>
      <c r="AH45" s="59"/>
      <c r="AI45" s="91"/>
      <c r="AJ45" s="90"/>
      <c r="AK45" s="59"/>
      <c r="AL45" s="59"/>
      <c r="AM45" s="59"/>
      <c r="AN45" s="59"/>
      <c r="AO45" s="59"/>
      <c r="AP45" s="59"/>
      <c r="AQ45" s="91"/>
    </row>
    <row r="46" spans="2:43">
      <c r="D46" s="90"/>
      <c r="E46" s="59"/>
      <c r="F46" s="59"/>
      <c r="G46" s="59"/>
      <c r="H46" s="59"/>
      <c r="I46" s="59"/>
      <c r="J46" s="59"/>
      <c r="K46" s="91"/>
      <c r="L46" s="90"/>
      <c r="M46" s="59"/>
      <c r="N46" s="59"/>
      <c r="O46" s="59"/>
      <c r="P46" s="59"/>
      <c r="Q46" s="59"/>
      <c r="R46" s="59"/>
      <c r="S46" s="91"/>
      <c r="T46" s="90"/>
      <c r="U46" s="59"/>
      <c r="V46" s="59"/>
      <c r="W46" s="59"/>
      <c r="X46" s="59"/>
      <c r="Y46" s="59"/>
      <c r="Z46" s="59"/>
      <c r="AA46" s="91"/>
      <c r="AB46" s="90"/>
      <c r="AC46" s="59"/>
      <c r="AD46" s="59"/>
      <c r="AE46" s="59"/>
      <c r="AF46" s="59"/>
      <c r="AG46" s="59"/>
      <c r="AH46" s="59"/>
      <c r="AI46" s="91"/>
      <c r="AJ46" s="90"/>
      <c r="AK46" s="59"/>
      <c r="AL46" s="59"/>
      <c r="AM46" s="59"/>
      <c r="AN46" s="59"/>
      <c r="AO46" s="59"/>
      <c r="AP46" s="59"/>
      <c r="AQ46" s="91"/>
    </row>
    <row r="47" spans="2:43">
      <c r="D47" s="90"/>
      <c r="E47" s="59"/>
      <c r="F47" s="59"/>
      <c r="G47" s="59"/>
      <c r="H47" s="59"/>
      <c r="I47" s="59"/>
      <c r="J47" s="59"/>
      <c r="K47" s="91"/>
      <c r="L47" s="90"/>
      <c r="M47" s="59"/>
      <c r="N47" s="59"/>
      <c r="O47" s="59"/>
      <c r="P47" s="59"/>
      <c r="Q47" s="59"/>
      <c r="R47" s="59"/>
      <c r="S47" s="91"/>
      <c r="T47" s="90"/>
      <c r="U47" s="59"/>
      <c r="V47" s="59"/>
      <c r="W47" s="59"/>
      <c r="X47" s="59"/>
      <c r="Y47" s="59"/>
      <c r="Z47" s="59"/>
      <c r="AA47" s="91"/>
      <c r="AB47" s="90"/>
      <c r="AC47" s="59"/>
      <c r="AD47" s="59"/>
      <c r="AE47" s="59"/>
      <c r="AF47" s="59"/>
      <c r="AG47" s="59"/>
      <c r="AH47" s="59"/>
      <c r="AI47" s="91"/>
      <c r="AJ47" s="90"/>
      <c r="AK47" s="59"/>
      <c r="AL47" s="59"/>
      <c r="AM47" s="59"/>
      <c r="AN47" s="59"/>
      <c r="AO47" s="59"/>
      <c r="AP47" s="59"/>
      <c r="AQ47" s="91"/>
    </row>
    <row r="48" spans="2:43">
      <c r="D48" s="90"/>
      <c r="E48" s="59"/>
      <c r="F48" s="59"/>
      <c r="G48" s="59"/>
      <c r="H48" s="59"/>
      <c r="I48" s="59"/>
      <c r="J48" s="59"/>
      <c r="K48" s="91"/>
      <c r="L48" s="90"/>
      <c r="M48" s="59"/>
      <c r="N48" s="59"/>
      <c r="O48" s="59"/>
      <c r="P48" s="59"/>
      <c r="Q48" s="59"/>
      <c r="R48" s="59"/>
      <c r="S48" s="91"/>
      <c r="T48" s="90"/>
      <c r="U48" s="59"/>
      <c r="V48" s="59"/>
      <c r="W48" s="59"/>
      <c r="X48" s="59"/>
      <c r="Y48" s="59"/>
      <c r="Z48" s="59"/>
      <c r="AA48" s="91"/>
      <c r="AB48" s="90"/>
      <c r="AC48" s="59"/>
      <c r="AD48" s="59"/>
      <c r="AE48" s="59"/>
      <c r="AF48" s="59"/>
      <c r="AG48" s="59"/>
      <c r="AH48" s="59"/>
      <c r="AI48" s="91"/>
      <c r="AJ48" s="90"/>
      <c r="AK48" s="59"/>
      <c r="AL48" s="59"/>
      <c r="AM48" s="59"/>
      <c r="AN48" s="59"/>
      <c r="AO48" s="59"/>
      <c r="AP48" s="59"/>
      <c r="AQ48" s="91"/>
    </row>
    <row r="49" spans="4:43">
      <c r="D49" s="90"/>
      <c r="E49" s="59"/>
      <c r="F49" s="59"/>
      <c r="G49" s="59"/>
      <c r="H49" s="59"/>
      <c r="I49" s="59"/>
      <c r="J49" s="59"/>
      <c r="K49" s="91"/>
      <c r="L49" s="90"/>
      <c r="M49" s="59"/>
      <c r="N49" s="59"/>
      <c r="O49" s="59"/>
      <c r="P49" s="59"/>
      <c r="Q49" s="59"/>
      <c r="R49" s="59"/>
      <c r="S49" s="91"/>
      <c r="T49" s="90"/>
      <c r="U49" s="59"/>
      <c r="V49" s="59"/>
      <c r="W49" s="59"/>
      <c r="X49" s="59"/>
      <c r="Y49" s="59"/>
      <c r="Z49" s="59"/>
      <c r="AA49" s="91"/>
      <c r="AB49" s="90"/>
      <c r="AC49" s="59"/>
      <c r="AD49" s="59"/>
      <c r="AE49" s="59"/>
      <c r="AF49" s="59"/>
      <c r="AG49" s="59"/>
      <c r="AH49" s="59"/>
      <c r="AI49" s="91"/>
      <c r="AJ49" s="90"/>
      <c r="AK49" s="59"/>
      <c r="AL49" s="59"/>
      <c r="AM49" s="59"/>
      <c r="AN49" s="59"/>
      <c r="AO49" s="59"/>
      <c r="AP49" s="59"/>
      <c r="AQ49" s="91"/>
    </row>
    <row r="50" spans="4:43">
      <c r="D50" s="90"/>
      <c r="E50" s="59"/>
      <c r="F50" s="59"/>
      <c r="G50" s="59"/>
      <c r="H50" s="59"/>
      <c r="I50" s="59"/>
      <c r="J50" s="59"/>
      <c r="K50" s="91"/>
      <c r="L50" s="90"/>
      <c r="M50" s="59"/>
      <c r="N50" s="59"/>
      <c r="O50" s="59"/>
      <c r="P50" s="59"/>
      <c r="Q50" s="59"/>
      <c r="R50" s="59"/>
      <c r="S50" s="91"/>
      <c r="T50" s="90"/>
      <c r="U50" s="59"/>
      <c r="V50" s="59"/>
      <c r="W50" s="59"/>
      <c r="X50" s="59"/>
      <c r="Y50" s="59"/>
      <c r="Z50" s="59"/>
      <c r="AA50" s="91"/>
      <c r="AB50" s="90"/>
      <c r="AC50" s="59"/>
      <c r="AD50" s="59"/>
      <c r="AE50" s="59"/>
      <c r="AF50" s="59"/>
      <c r="AG50" s="59"/>
      <c r="AH50" s="59"/>
      <c r="AI50" s="91"/>
      <c r="AJ50" s="90"/>
      <c r="AK50" s="59"/>
      <c r="AL50" s="59"/>
      <c r="AM50" s="59"/>
      <c r="AN50" s="59"/>
      <c r="AO50" s="59"/>
      <c r="AP50" s="59"/>
      <c r="AQ50" s="91"/>
    </row>
    <row r="51" spans="4:43">
      <c r="D51" s="90"/>
      <c r="E51" s="59"/>
      <c r="F51" s="59"/>
      <c r="G51" s="59"/>
      <c r="H51" s="59"/>
      <c r="I51" s="59"/>
      <c r="J51" s="59"/>
      <c r="K51" s="91"/>
      <c r="L51" s="90"/>
      <c r="M51" s="59"/>
      <c r="N51" s="59"/>
      <c r="O51" s="59"/>
      <c r="P51" s="59"/>
      <c r="Q51" s="59"/>
      <c r="R51" s="59"/>
      <c r="S51" s="91"/>
      <c r="T51" s="90"/>
      <c r="U51" s="59"/>
      <c r="V51" s="59"/>
      <c r="W51" s="59"/>
      <c r="X51" s="59"/>
      <c r="Y51" s="59"/>
      <c r="Z51" s="59"/>
      <c r="AA51" s="91"/>
      <c r="AB51" s="90"/>
      <c r="AC51" s="59"/>
      <c r="AD51" s="59"/>
      <c r="AE51" s="59"/>
      <c r="AF51" s="59"/>
      <c r="AG51" s="59"/>
      <c r="AH51" s="59"/>
      <c r="AI51" s="91"/>
      <c r="AJ51" s="90"/>
      <c r="AK51" s="59"/>
      <c r="AL51" s="59"/>
      <c r="AM51" s="59"/>
      <c r="AN51" s="59"/>
      <c r="AO51" s="59"/>
      <c r="AP51" s="59"/>
      <c r="AQ51" s="91"/>
    </row>
    <row r="52" spans="4:43">
      <c r="D52" s="90"/>
      <c r="E52" s="59"/>
      <c r="F52" s="59"/>
      <c r="G52" s="59"/>
      <c r="H52" s="59"/>
      <c r="I52" s="59"/>
      <c r="J52" s="59"/>
      <c r="K52" s="91"/>
      <c r="L52" s="90"/>
      <c r="M52" s="59"/>
      <c r="N52" s="59"/>
      <c r="O52" s="59"/>
      <c r="P52" s="59"/>
      <c r="Q52" s="59"/>
      <c r="R52" s="59"/>
      <c r="S52" s="91"/>
      <c r="T52" s="90"/>
      <c r="U52" s="59"/>
      <c r="V52" s="59"/>
      <c r="W52" s="59"/>
      <c r="X52" s="59"/>
      <c r="Y52" s="59"/>
      <c r="Z52" s="59"/>
      <c r="AA52" s="91"/>
      <c r="AB52" s="90"/>
      <c r="AC52" s="59"/>
      <c r="AD52" s="59"/>
      <c r="AE52" s="59"/>
      <c r="AF52" s="59"/>
      <c r="AG52" s="59"/>
      <c r="AH52" s="59"/>
      <c r="AI52" s="91"/>
      <c r="AJ52" s="90"/>
      <c r="AK52" s="59"/>
      <c r="AL52" s="59"/>
      <c r="AM52" s="59"/>
      <c r="AN52" s="59"/>
      <c r="AO52" s="59"/>
      <c r="AP52" s="59"/>
      <c r="AQ52" s="91"/>
    </row>
    <row r="53" spans="4:43">
      <c r="D53" s="90"/>
      <c r="E53" s="59"/>
      <c r="F53" s="59"/>
      <c r="G53" s="59"/>
      <c r="H53" s="59"/>
      <c r="I53" s="59"/>
      <c r="J53" s="59"/>
      <c r="K53" s="91"/>
      <c r="L53" s="90"/>
      <c r="M53" s="59"/>
      <c r="N53" s="59"/>
      <c r="O53" s="59"/>
      <c r="P53" s="59"/>
      <c r="Q53" s="59"/>
      <c r="R53" s="59"/>
      <c r="S53" s="91"/>
      <c r="T53" s="90"/>
      <c r="U53" s="59"/>
      <c r="V53" s="59"/>
      <c r="W53" s="59"/>
      <c r="X53" s="59"/>
      <c r="Y53" s="59"/>
      <c r="Z53" s="59"/>
      <c r="AA53" s="91"/>
      <c r="AB53" s="90"/>
      <c r="AC53" s="59"/>
      <c r="AD53" s="59"/>
      <c r="AE53" s="59"/>
      <c r="AF53" s="59"/>
      <c r="AG53" s="59"/>
      <c r="AH53" s="59"/>
      <c r="AI53" s="91"/>
      <c r="AJ53" s="90"/>
      <c r="AK53" s="59"/>
      <c r="AL53" s="59"/>
      <c r="AM53" s="59"/>
      <c r="AN53" s="59"/>
      <c r="AO53" s="59"/>
      <c r="AP53" s="59"/>
      <c r="AQ53" s="91"/>
    </row>
    <row r="54" spans="4:43" ht="15.75" thickBot="1">
      <c r="D54" s="94"/>
      <c r="E54" s="95"/>
      <c r="F54" s="95"/>
      <c r="G54" s="95"/>
      <c r="H54" s="95"/>
      <c r="I54" s="95"/>
      <c r="J54" s="95"/>
      <c r="K54" s="96"/>
      <c r="L54" s="94"/>
      <c r="M54" s="95"/>
      <c r="N54" s="95"/>
      <c r="O54" s="95"/>
      <c r="P54" s="95"/>
      <c r="Q54" s="95"/>
      <c r="R54" s="95"/>
      <c r="S54" s="96"/>
      <c r="T54" s="94"/>
      <c r="U54" s="95"/>
      <c r="V54" s="95"/>
      <c r="W54" s="95"/>
      <c r="X54" s="95"/>
      <c r="Y54" s="95"/>
      <c r="Z54" s="95"/>
      <c r="AA54" s="96"/>
      <c r="AB54" s="94"/>
      <c r="AC54" s="95"/>
      <c r="AD54" s="95"/>
      <c r="AE54" s="95"/>
      <c r="AF54" s="95"/>
      <c r="AG54" s="95"/>
      <c r="AH54" s="95"/>
      <c r="AI54" s="96"/>
      <c r="AJ54" s="94"/>
      <c r="AK54" s="95"/>
      <c r="AL54" s="95"/>
      <c r="AM54" s="95"/>
      <c r="AN54" s="95"/>
      <c r="AO54" s="95"/>
      <c r="AP54" s="95"/>
      <c r="AQ54" s="96"/>
    </row>
  </sheetData>
  <mergeCells count="28">
    <mergeCell ref="D5:G5"/>
    <mergeCell ref="H5:K5"/>
    <mergeCell ref="L5:O5"/>
    <mergeCell ref="P5:S5"/>
    <mergeCell ref="T5:W5"/>
    <mergeCell ref="AB4:AI4"/>
    <mergeCell ref="X5:AA5"/>
    <mergeCell ref="AB5:AE5"/>
    <mergeCell ref="AF5:AI5"/>
    <mergeCell ref="AJ4:AQ4"/>
    <mergeCell ref="AJ5:AM5"/>
    <mergeCell ref="AN5:AQ5"/>
    <mergeCell ref="B2:AA2"/>
    <mergeCell ref="AF31:AI31"/>
    <mergeCell ref="AF32:AI32"/>
    <mergeCell ref="AN31:AQ31"/>
    <mergeCell ref="AN32:AQ32"/>
    <mergeCell ref="B30:C35"/>
    <mergeCell ref="H31:K31"/>
    <mergeCell ref="H32:K32"/>
    <mergeCell ref="P31:S31"/>
    <mergeCell ref="P32:S32"/>
    <mergeCell ref="X31:AA31"/>
    <mergeCell ref="X32:AA32"/>
    <mergeCell ref="B10:C13"/>
    <mergeCell ref="D4:K4"/>
    <mergeCell ref="L4:S4"/>
    <mergeCell ref="T4:AA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A2:W49"/>
  <sheetViews>
    <sheetView workbookViewId="0">
      <selection activeCell="T48" sqref="T48"/>
    </sheetView>
  </sheetViews>
  <sheetFormatPr defaultRowHeight="15"/>
  <cols>
    <col min="1" max="1" width="16.85546875" customWidth="1"/>
    <col min="7" max="7" width="13" customWidth="1"/>
    <col min="11" max="11" width="11.85546875" customWidth="1"/>
  </cols>
  <sheetData>
    <row r="2" spans="1:23" ht="32.25" customHeight="1">
      <c r="A2" s="426" t="s">
        <v>25</v>
      </c>
      <c r="B2" s="427"/>
      <c r="C2" s="427"/>
      <c r="D2" s="427"/>
      <c r="E2" s="428"/>
      <c r="G2" s="426" t="s">
        <v>30</v>
      </c>
      <c r="H2" s="427"/>
      <c r="I2" s="427"/>
      <c r="J2" s="427"/>
      <c r="K2" s="428"/>
      <c r="M2" s="426" t="s">
        <v>31</v>
      </c>
      <c r="N2" s="427"/>
      <c r="O2" s="427"/>
      <c r="P2" s="427"/>
      <c r="Q2" s="428"/>
      <c r="R2" s="10"/>
      <c r="S2" s="426" t="s">
        <v>32</v>
      </c>
      <c r="T2" s="427"/>
      <c r="U2" s="427"/>
      <c r="V2" s="427"/>
      <c r="W2" s="428"/>
    </row>
    <row r="3" spans="1:23">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3">
      <c r="A4" s="1" t="s">
        <v>1</v>
      </c>
      <c r="B4" s="2" t="s">
        <v>2</v>
      </c>
      <c r="C4" s="2" t="s">
        <v>2</v>
      </c>
      <c r="D4" s="2" t="s">
        <v>2</v>
      </c>
      <c r="E4" s="3" t="s">
        <v>2</v>
      </c>
      <c r="G4" s="1" t="s">
        <v>1</v>
      </c>
      <c r="H4" s="4">
        <v>86</v>
      </c>
      <c r="I4" s="4">
        <v>520</v>
      </c>
      <c r="J4" s="4">
        <v>981</v>
      </c>
      <c r="K4" s="5">
        <v>1806</v>
      </c>
      <c r="M4" s="1" t="s">
        <v>13</v>
      </c>
      <c r="N4" s="4" t="s">
        <v>2</v>
      </c>
      <c r="O4" s="4" t="s">
        <v>2</v>
      </c>
      <c r="P4" s="4" t="s">
        <v>2</v>
      </c>
      <c r="Q4" s="5" t="s">
        <v>2</v>
      </c>
      <c r="R4" s="2"/>
      <c r="S4" s="1" t="s">
        <v>13</v>
      </c>
      <c r="T4" s="4">
        <v>41.2</v>
      </c>
      <c r="U4" s="4">
        <v>257.60000000000002</v>
      </c>
      <c r="V4" s="4">
        <v>483.3</v>
      </c>
      <c r="W4" s="5">
        <v>859.4</v>
      </c>
    </row>
    <row r="5" spans="1:23">
      <c r="A5" s="1" t="s">
        <v>3</v>
      </c>
      <c r="B5" s="4">
        <v>7579</v>
      </c>
      <c r="C5" s="4">
        <v>6982</v>
      </c>
      <c r="D5" s="4">
        <v>6497</v>
      </c>
      <c r="E5" s="5">
        <v>5884</v>
      </c>
      <c r="G5" s="1" t="s">
        <v>3</v>
      </c>
      <c r="H5" s="4">
        <v>7602</v>
      </c>
      <c r="I5" s="4">
        <v>7136</v>
      </c>
      <c r="J5" s="4">
        <v>6662</v>
      </c>
      <c r="K5" s="5">
        <v>6344</v>
      </c>
      <c r="M5" s="1" t="s">
        <v>14</v>
      </c>
      <c r="N5" s="4">
        <v>3874</v>
      </c>
      <c r="O5" s="4">
        <v>3130</v>
      </c>
      <c r="P5" s="4">
        <v>2273</v>
      </c>
      <c r="Q5" s="5">
        <v>928</v>
      </c>
      <c r="R5" s="2"/>
      <c r="S5" s="1" t="s">
        <v>14</v>
      </c>
      <c r="T5" s="4">
        <v>3831.5</v>
      </c>
      <c r="U5" s="4">
        <v>2865.9</v>
      </c>
      <c r="V5" s="4">
        <v>1777.3</v>
      </c>
      <c r="W5" s="5">
        <v>46.4</v>
      </c>
    </row>
    <row r="6" spans="1:23">
      <c r="A6" s="1" t="s">
        <v>4</v>
      </c>
      <c r="B6" s="4">
        <v>1150</v>
      </c>
      <c r="C6" s="4">
        <v>932</v>
      </c>
      <c r="D6" s="4">
        <v>635</v>
      </c>
      <c r="E6" s="5">
        <v>251</v>
      </c>
      <c r="G6" s="1" t="s">
        <v>4</v>
      </c>
      <c r="H6" s="4">
        <v>1157</v>
      </c>
      <c r="I6" s="4">
        <v>950</v>
      </c>
      <c r="J6" s="4">
        <v>553</v>
      </c>
      <c r="K6" s="5">
        <v>179</v>
      </c>
      <c r="M6" s="1" t="s">
        <v>15</v>
      </c>
      <c r="N6" s="4">
        <v>7118</v>
      </c>
      <c r="O6" s="4">
        <v>7192</v>
      </c>
      <c r="P6" s="4">
        <v>7125</v>
      </c>
      <c r="Q6" s="5">
        <v>7158</v>
      </c>
      <c r="R6" s="4"/>
      <c r="S6" s="1" t="s">
        <v>15</v>
      </c>
      <c r="T6" s="4">
        <v>7117.9</v>
      </c>
      <c r="U6" s="4">
        <v>7191.7</v>
      </c>
      <c r="V6" s="4">
        <v>7124.6</v>
      </c>
      <c r="W6" s="5">
        <v>7158.4</v>
      </c>
    </row>
    <row r="7" spans="1:23">
      <c r="A7" s="1" t="s">
        <v>5</v>
      </c>
      <c r="B7" s="4">
        <v>116</v>
      </c>
      <c r="C7" s="4">
        <v>653</v>
      </c>
      <c r="D7" s="4">
        <v>1231</v>
      </c>
      <c r="E7" s="5">
        <v>1698</v>
      </c>
      <c r="G7" s="1" t="s">
        <v>5</v>
      </c>
      <c r="H7" s="4">
        <v>203</v>
      </c>
      <c r="I7" s="4">
        <v>1137</v>
      </c>
      <c r="J7" s="4">
        <v>2196</v>
      </c>
      <c r="K7" s="5">
        <v>3025</v>
      </c>
      <c r="M7" s="1" t="s">
        <v>8</v>
      </c>
      <c r="N7" s="4">
        <v>2897</v>
      </c>
      <c r="O7" s="4">
        <v>2975</v>
      </c>
      <c r="P7" s="4">
        <v>2997</v>
      </c>
      <c r="Q7" s="5">
        <v>3094</v>
      </c>
      <c r="R7" s="4"/>
      <c r="S7" s="1" t="s">
        <v>8</v>
      </c>
      <c r="T7" s="4">
        <v>2815.1</v>
      </c>
      <c r="U7" s="4">
        <v>2459.6999999999998</v>
      </c>
      <c r="V7" s="4">
        <v>2030.6</v>
      </c>
      <c r="W7" s="5">
        <v>1375</v>
      </c>
    </row>
    <row r="8" spans="1:23">
      <c r="A8" s="1" t="s">
        <v>6</v>
      </c>
      <c r="B8" s="4">
        <v>13</v>
      </c>
      <c r="C8" s="4">
        <v>96</v>
      </c>
      <c r="D8" s="4">
        <v>327</v>
      </c>
      <c r="E8" s="5">
        <v>679</v>
      </c>
      <c r="G8" s="1" t="s">
        <v>6</v>
      </c>
      <c r="H8" s="4">
        <v>56</v>
      </c>
      <c r="I8" s="4">
        <v>348</v>
      </c>
      <c r="J8" s="4">
        <v>757</v>
      </c>
      <c r="K8" s="5">
        <v>1256</v>
      </c>
      <c r="M8" s="1" t="s">
        <v>9</v>
      </c>
      <c r="N8" s="4">
        <v>2791</v>
      </c>
      <c r="O8" s="4">
        <v>3390</v>
      </c>
      <c r="P8" s="4">
        <v>3961</v>
      </c>
      <c r="Q8" s="5">
        <v>4967</v>
      </c>
      <c r="R8" s="4"/>
      <c r="S8" s="1" t="s">
        <v>9</v>
      </c>
      <c r="T8" s="4">
        <v>2587.9</v>
      </c>
      <c r="U8" s="4">
        <v>2120.3000000000002</v>
      </c>
      <c r="V8" s="4">
        <v>1578.3</v>
      </c>
      <c r="W8" s="5">
        <v>730.4</v>
      </c>
    </row>
    <row r="9" spans="1:23">
      <c r="A9" s="1" t="s">
        <v>7</v>
      </c>
      <c r="B9" s="4">
        <v>973</v>
      </c>
      <c r="C9" s="4">
        <v>781</v>
      </c>
      <c r="D9" s="4">
        <v>596</v>
      </c>
      <c r="E9" s="5">
        <v>295</v>
      </c>
      <c r="G9" s="1" t="s">
        <v>7</v>
      </c>
      <c r="H9" s="4">
        <v>955</v>
      </c>
      <c r="I9" s="4">
        <v>688</v>
      </c>
      <c r="J9" s="4">
        <v>427</v>
      </c>
      <c r="K9" s="5" t="s">
        <v>2</v>
      </c>
      <c r="M9" s="1" t="s">
        <v>16</v>
      </c>
      <c r="N9" s="4">
        <v>393</v>
      </c>
      <c r="O9" s="4">
        <v>293</v>
      </c>
      <c r="P9" s="4">
        <v>180</v>
      </c>
      <c r="Q9" s="5" t="s">
        <v>2</v>
      </c>
      <c r="R9" s="2"/>
      <c r="S9" s="1" t="s">
        <v>16</v>
      </c>
      <c r="T9" s="4">
        <v>392.7</v>
      </c>
      <c r="U9" s="4">
        <v>292.5</v>
      </c>
      <c r="V9" s="4">
        <v>179.6</v>
      </c>
      <c r="W9" s="5" t="s">
        <v>2</v>
      </c>
    </row>
    <row r="10" spans="1:23">
      <c r="A10" s="1" t="s">
        <v>8</v>
      </c>
      <c r="B10" s="4">
        <v>5613</v>
      </c>
      <c r="C10" s="4">
        <v>4497</v>
      </c>
      <c r="D10" s="4">
        <v>3322</v>
      </c>
      <c r="E10" s="5">
        <v>1199</v>
      </c>
      <c r="G10" s="1" t="s">
        <v>8</v>
      </c>
      <c r="H10" s="4">
        <v>5547</v>
      </c>
      <c r="I10" s="4">
        <v>4238</v>
      </c>
      <c r="J10" s="4">
        <v>2966</v>
      </c>
      <c r="K10" s="5">
        <v>1001</v>
      </c>
      <c r="M10" s="1" t="s">
        <v>17</v>
      </c>
      <c r="N10" s="4">
        <v>1251</v>
      </c>
      <c r="O10" s="4">
        <v>1331</v>
      </c>
      <c r="P10" s="4">
        <v>1390</v>
      </c>
      <c r="Q10" s="5">
        <v>1512</v>
      </c>
      <c r="R10" s="4"/>
      <c r="S10" s="1" t="s">
        <v>17</v>
      </c>
      <c r="T10" s="4">
        <v>1343</v>
      </c>
      <c r="U10" s="4">
        <v>1908</v>
      </c>
      <c r="V10" s="4">
        <v>2472.1999999999998</v>
      </c>
      <c r="W10" s="5">
        <v>3437.4</v>
      </c>
    </row>
    <row r="11" spans="1:23">
      <c r="A11" s="1" t="s">
        <v>9</v>
      </c>
      <c r="B11" s="4">
        <v>4846</v>
      </c>
      <c r="C11" s="4">
        <v>6290</v>
      </c>
      <c r="D11" s="4">
        <v>8084</v>
      </c>
      <c r="E11" s="5">
        <v>11840</v>
      </c>
      <c r="G11" s="1" t="s">
        <v>9</v>
      </c>
      <c r="H11" s="4">
        <v>4413</v>
      </c>
      <c r="I11" s="4">
        <v>3510</v>
      </c>
      <c r="J11" s="4">
        <v>1957</v>
      </c>
      <c r="K11" s="5">
        <v>243</v>
      </c>
      <c r="M11" s="7" t="s">
        <v>12</v>
      </c>
      <c r="N11" s="8">
        <v>18323</v>
      </c>
      <c r="O11" s="8">
        <v>18311</v>
      </c>
      <c r="P11" s="8">
        <v>17925</v>
      </c>
      <c r="Q11" s="9">
        <v>17660</v>
      </c>
      <c r="R11" s="4"/>
      <c r="S11" s="7" t="s">
        <v>12</v>
      </c>
      <c r="T11" s="8">
        <v>18129.3</v>
      </c>
      <c r="U11" s="8">
        <v>17095.7</v>
      </c>
      <c r="V11" s="8">
        <v>15646</v>
      </c>
      <c r="W11" s="9">
        <v>13607</v>
      </c>
    </row>
    <row r="12" spans="1:23">
      <c r="A12" s="1" t="s">
        <v>10</v>
      </c>
      <c r="B12" s="4">
        <v>10379</v>
      </c>
      <c r="C12" s="4">
        <v>8154</v>
      </c>
      <c r="D12" s="4">
        <v>5375</v>
      </c>
      <c r="E12" s="5">
        <v>1439</v>
      </c>
      <c r="G12" s="1" t="s">
        <v>10</v>
      </c>
      <c r="H12" s="4">
        <v>10176</v>
      </c>
      <c r="I12" s="4">
        <v>7292</v>
      </c>
      <c r="J12" s="4">
        <v>4494</v>
      </c>
      <c r="K12" s="5" t="s">
        <v>2</v>
      </c>
    </row>
    <row r="13" spans="1:23">
      <c r="A13" s="1" t="s">
        <v>11</v>
      </c>
      <c r="B13" s="4">
        <v>644</v>
      </c>
      <c r="C13" s="4">
        <v>853</v>
      </c>
      <c r="D13" s="4">
        <v>1053</v>
      </c>
      <c r="E13" s="5">
        <v>1362</v>
      </c>
      <c r="G13" s="1" t="s">
        <v>11</v>
      </c>
      <c r="H13" s="4">
        <v>741</v>
      </c>
      <c r="I13" s="4">
        <v>1356</v>
      </c>
      <c r="J13" s="4">
        <v>1827</v>
      </c>
      <c r="K13" s="5">
        <v>2274</v>
      </c>
    </row>
    <row r="14" spans="1:23">
      <c r="A14" s="7" t="s">
        <v>12</v>
      </c>
      <c r="B14" s="8">
        <f>SUM(B4:B13)</f>
        <v>31313</v>
      </c>
      <c r="C14" s="8">
        <f>SUM(C4:C13)</f>
        <v>29238</v>
      </c>
      <c r="D14" s="8">
        <f>SUM(D4:D13)</f>
        <v>27120</v>
      </c>
      <c r="E14" s="9">
        <f>SUM(E4:E13)</f>
        <v>24647</v>
      </c>
      <c r="G14" s="7" t="s">
        <v>12</v>
      </c>
      <c r="H14" s="8">
        <f>SUM(H4:H13)</f>
        <v>30936</v>
      </c>
      <c r="I14" s="8">
        <f>SUM(I4:I13)</f>
        <v>27175</v>
      </c>
      <c r="J14" s="8">
        <f>SUM(J4:J13)</f>
        <v>22820</v>
      </c>
      <c r="K14" s="9">
        <f>SUM(K4:K13)</f>
        <v>16128</v>
      </c>
    </row>
    <row r="22" spans="1:23" ht="33.75" customHeight="1">
      <c r="A22" s="426" t="s">
        <v>33</v>
      </c>
      <c r="B22" s="427"/>
      <c r="C22" s="427"/>
      <c r="D22" s="427"/>
      <c r="E22" s="428"/>
      <c r="G22" s="426" t="s">
        <v>34</v>
      </c>
      <c r="H22" s="427"/>
      <c r="I22" s="427"/>
      <c r="J22" s="427"/>
      <c r="K22" s="428"/>
      <c r="M22" s="429" t="s">
        <v>35</v>
      </c>
      <c r="N22" s="430"/>
      <c r="O22" s="430"/>
      <c r="P22" s="430"/>
      <c r="Q22" s="431"/>
      <c r="S22" s="426" t="s">
        <v>36</v>
      </c>
      <c r="T22" s="427"/>
      <c r="U22" s="427"/>
      <c r="V22" s="427"/>
      <c r="W22" s="428"/>
    </row>
    <row r="23" spans="1:23">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c r="A24" s="1" t="s">
        <v>21</v>
      </c>
      <c r="B24" s="4">
        <v>28</v>
      </c>
      <c r="C24" s="4">
        <v>23</v>
      </c>
      <c r="D24" s="4">
        <v>20</v>
      </c>
      <c r="E24" s="5">
        <v>17</v>
      </c>
      <c r="G24" s="1" t="s">
        <v>21</v>
      </c>
      <c r="H24" s="4">
        <v>28</v>
      </c>
      <c r="I24" s="4">
        <v>23</v>
      </c>
      <c r="J24" s="4">
        <v>11</v>
      </c>
      <c r="K24" s="5">
        <v>1</v>
      </c>
      <c r="M24" s="1" t="s">
        <v>18</v>
      </c>
      <c r="N24" s="4">
        <v>95</v>
      </c>
      <c r="O24" s="4">
        <v>88</v>
      </c>
      <c r="P24" s="4">
        <v>68</v>
      </c>
      <c r="Q24" s="5">
        <v>14</v>
      </c>
      <c r="S24" s="1" t="s">
        <v>18</v>
      </c>
      <c r="T24" s="4">
        <v>522</v>
      </c>
      <c r="U24" s="4">
        <v>2565</v>
      </c>
      <c r="V24" s="4">
        <v>4521</v>
      </c>
      <c r="W24" s="5">
        <v>7443</v>
      </c>
    </row>
    <row r="25" spans="1:23">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c r="A26" s="1" t="s">
        <v>23</v>
      </c>
      <c r="B26" s="4">
        <v>0</v>
      </c>
      <c r="C26" s="4">
        <v>0</v>
      </c>
      <c r="D26" s="4">
        <v>0</v>
      </c>
      <c r="E26" s="5">
        <v>0</v>
      </c>
      <c r="G26" s="1" t="s">
        <v>23</v>
      </c>
      <c r="H26" s="4">
        <v>0</v>
      </c>
      <c r="I26" s="4">
        <v>0</v>
      </c>
      <c r="J26" s="4">
        <v>2</v>
      </c>
      <c r="K26" s="5">
        <v>5</v>
      </c>
      <c r="M26" s="1" t="s">
        <v>20</v>
      </c>
      <c r="N26" s="4">
        <v>7907</v>
      </c>
      <c r="O26" s="4">
        <v>8616</v>
      </c>
      <c r="P26" s="4">
        <v>8871</v>
      </c>
      <c r="Q26" s="5">
        <v>8349</v>
      </c>
      <c r="S26" s="1" t="s">
        <v>20</v>
      </c>
      <c r="T26" s="4">
        <v>7236</v>
      </c>
      <c r="U26" s="4">
        <v>5013</v>
      </c>
      <c r="V26" s="4">
        <v>2979</v>
      </c>
      <c r="W26" s="5">
        <v>99</v>
      </c>
    </row>
    <row r="27" spans="1:23">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c r="A29" s="6" t="s">
        <v>24</v>
      </c>
      <c r="B29" s="18" t="s">
        <v>2</v>
      </c>
      <c r="C29" s="18" t="s">
        <v>2</v>
      </c>
      <c r="D29" s="18" t="s">
        <v>2</v>
      </c>
      <c r="E29" s="19" t="s">
        <v>2</v>
      </c>
      <c r="G29" s="1" t="s">
        <v>24</v>
      </c>
      <c r="H29" s="4" t="s">
        <v>2</v>
      </c>
      <c r="I29" s="4" t="s">
        <v>2</v>
      </c>
      <c r="J29" s="4" t="s">
        <v>2</v>
      </c>
      <c r="K29" s="5" t="s">
        <v>2</v>
      </c>
    </row>
    <row r="30" spans="1:23">
      <c r="A30" s="7" t="s">
        <v>12</v>
      </c>
      <c r="B30" s="8">
        <f>SUM(B24:B29)</f>
        <v>33</v>
      </c>
      <c r="C30" s="8">
        <f>SUM(C24:C29)</f>
        <v>27</v>
      </c>
      <c r="D30" s="8">
        <f>SUM(D24:D29)</f>
        <v>24</v>
      </c>
      <c r="E30" s="9">
        <f>SUM(E24:E29)</f>
        <v>20</v>
      </c>
      <c r="G30" s="7" t="s">
        <v>12</v>
      </c>
      <c r="H30" s="8">
        <f>SUM(H24:H29)</f>
        <v>33</v>
      </c>
      <c r="I30" s="8">
        <f>SUM(I24:I29)</f>
        <v>27</v>
      </c>
      <c r="J30" s="8">
        <f>SUM(J24:J29)</f>
        <v>15</v>
      </c>
      <c r="K30" s="9">
        <f>SUM(K24:K29)</f>
        <v>7</v>
      </c>
    </row>
    <row r="32" spans="1:23" ht="30" customHeight="1"/>
    <row r="33" spans="1:11" ht="15" hidden="1" customHeight="1">
      <c r="A33" t="s">
        <v>37</v>
      </c>
      <c r="G33" t="s">
        <v>38</v>
      </c>
    </row>
    <row r="34" spans="1:11" ht="15" hidden="1" customHeight="1">
      <c r="A34" t="s">
        <v>0</v>
      </c>
      <c r="B34">
        <v>2015</v>
      </c>
      <c r="C34">
        <v>2025</v>
      </c>
      <c r="D34">
        <v>2035</v>
      </c>
      <c r="E34">
        <v>2050</v>
      </c>
      <c r="G34" t="s">
        <v>0</v>
      </c>
      <c r="H34">
        <v>2015</v>
      </c>
      <c r="I34">
        <v>2025</v>
      </c>
      <c r="J34">
        <v>2035</v>
      </c>
      <c r="K34">
        <v>2050</v>
      </c>
    </row>
    <row r="35" spans="1:11" ht="15" hidden="1" customHeight="1">
      <c r="A35" t="s">
        <v>41</v>
      </c>
      <c r="B35">
        <v>30</v>
      </c>
      <c r="C35">
        <v>32</v>
      </c>
      <c r="D35">
        <v>34</v>
      </c>
      <c r="E35">
        <v>40</v>
      </c>
      <c r="G35" t="s">
        <v>41</v>
      </c>
      <c r="H35">
        <v>29</v>
      </c>
      <c r="I35">
        <v>27</v>
      </c>
      <c r="J35">
        <v>26</v>
      </c>
      <c r="K35">
        <v>25</v>
      </c>
    </row>
    <row r="36" spans="1:11" ht="15" hidden="1" customHeight="1">
      <c r="A36" t="s">
        <v>26</v>
      </c>
      <c r="B36">
        <v>269</v>
      </c>
      <c r="C36">
        <v>300</v>
      </c>
      <c r="D36">
        <v>342</v>
      </c>
      <c r="E36">
        <v>433</v>
      </c>
      <c r="G36" t="s">
        <v>26</v>
      </c>
      <c r="H36">
        <v>263</v>
      </c>
      <c r="I36">
        <v>272</v>
      </c>
      <c r="J36">
        <v>290</v>
      </c>
      <c r="K36">
        <v>333</v>
      </c>
    </row>
    <row r="37" spans="1:11" ht="15" hidden="1" customHeight="1">
      <c r="A37" t="s">
        <v>39</v>
      </c>
      <c r="B37">
        <v>134</v>
      </c>
      <c r="C37">
        <v>121</v>
      </c>
      <c r="D37">
        <v>110</v>
      </c>
      <c r="E37">
        <v>99</v>
      </c>
      <c r="G37" t="s">
        <v>39</v>
      </c>
      <c r="H37">
        <v>147</v>
      </c>
      <c r="I37">
        <v>139</v>
      </c>
      <c r="J37">
        <v>132</v>
      </c>
      <c r="K37">
        <v>124</v>
      </c>
    </row>
    <row r="38" spans="1:11" ht="15" hidden="1" customHeight="1">
      <c r="A38" t="s">
        <v>27</v>
      </c>
      <c r="B38">
        <v>36</v>
      </c>
      <c r="C38">
        <v>36</v>
      </c>
      <c r="D38">
        <v>36</v>
      </c>
      <c r="E38">
        <v>39</v>
      </c>
      <c r="G38" t="s">
        <v>27</v>
      </c>
      <c r="H38">
        <v>37</v>
      </c>
      <c r="I38">
        <v>37</v>
      </c>
      <c r="J38">
        <v>39</v>
      </c>
      <c r="K38">
        <v>42</v>
      </c>
    </row>
    <row r="39" spans="1:11" ht="15" hidden="1" customHeight="1">
      <c r="A39" t="s">
        <v>28</v>
      </c>
      <c r="B39">
        <v>535</v>
      </c>
      <c r="C39">
        <v>467</v>
      </c>
      <c r="D39">
        <v>417</v>
      </c>
      <c r="E39">
        <v>371</v>
      </c>
      <c r="G39" t="s">
        <v>28</v>
      </c>
      <c r="H39">
        <v>516</v>
      </c>
      <c r="I39">
        <v>374</v>
      </c>
      <c r="J39">
        <v>278</v>
      </c>
      <c r="K39">
        <v>187</v>
      </c>
    </row>
    <row r="40" spans="1:11" ht="15" hidden="1" customHeight="1">
      <c r="A40" t="s">
        <v>42</v>
      </c>
      <c r="B40">
        <v>6</v>
      </c>
      <c r="C40">
        <v>31</v>
      </c>
      <c r="D40">
        <v>58</v>
      </c>
      <c r="E40">
        <v>80</v>
      </c>
      <c r="G40" t="s">
        <v>42</v>
      </c>
      <c r="H40">
        <v>10</v>
      </c>
      <c r="I40">
        <v>56</v>
      </c>
      <c r="J40">
        <v>106</v>
      </c>
      <c r="K40">
        <v>150</v>
      </c>
    </row>
    <row r="41" spans="1:11" ht="15" hidden="1" customHeight="1">
      <c r="A41" t="s">
        <v>29</v>
      </c>
      <c r="B41">
        <v>720</v>
      </c>
      <c r="C41">
        <v>1029</v>
      </c>
      <c r="D41">
        <v>1337</v>
      </c>
      <c r="E41">
        <v>1800</v>
      </c>
      <c r="G41" t="s">
        <v>29</v>
      </c>
      <c r="H41">
        <v>626</v>
      </c>
      <c r="I41">
        <v>632</v>
      </c>
      <c r="J41">
        <v>638</v>
      </c>
      <c r="K41">
        <v>648</v>
      </c>
    </row>
    <row r="42" spans="1:11" ht="15" hidden="1" customHeight="1">
      <c r="A42" t="s">
        <v>40</v>
      </c>
      <c r="B42">
        <v>52</v>
      </c>
      <c r="C42">
        <v>54</v>
      </c>
      <c r="D42">
        <v>58</v>
      </c>
      <c r="E42">
        <v>66</v>
      </c>
      <c r="G42" t="s">
        <v>40</v>
      </c>
      <c r="H42">
        <v>52</v>
      </c>
      <c r="I42">
        <v>49</v>
      </c>
      <c r="J42">
        <v>47</v>
      </c>
      <c r="K42">
        <v>46</v>
      </c>
    </row>
    <row r="43" spans="1:11" ht="15" hidden="1" customHeight="1">
      <c r="A43" t="s">
        <v>43</v>
      </c>
      <c r="B43">
        <v>49</v>
      </c>
      <c r="C43">
        <v>56</v>
      </c>
      <c r="D43">
        <v>59</v>
      </c>
      <c r="E43">
        <v>59</v>
      </c>
      <c r="G43" t="s">
        <v>43</v>
      </c>
      <c r="H43">
        <v>48</v>
      </c>
      <c r="I43">
        <v>47</v>
      </c>
      <c r="J43">
        <v>40</v>
      </c>
      <c r="K43">
        <v>22</v>
      </c>
    </row>
    <row r="44" spans="1:11" ht="15" hidden="1" customHeight="1">
      <c r="A44" t="s">
        <v>12</v>
      </c>
      <c r="B44">
        <f>SUM(B35:B43)</f>
        <v>1831</v>
      </c>
      <c r="C44">
        <f>SUM(C35:C43)</f>
        <v>2126</v>
      </c>
      <c r="D44">
        <f>SUM(D35:D43)</f>
        <v>2451</v>
      </c>
      <c r="E44">
        <f>SUM(E35:E43)</f>
        <v>2987</v>
      </c>
      <c r="G44" t="s">
        <v>12</v>
      </c>
      <c r="H44">
        <f>SUM(H35:H43)</f>
        <v>1728</v>
      </c>
      <c r="I44">
        <f>SUM(I35:I43)</f>
        <v>1633</v>
      </c>
      <c r="J44">
        <f>SUM(J35:J43)</f>
        <v>1596</v>
      </c>
      <c r="K44">
        <f>SUM(K35:K43)</f>
        <v>1577</v>
      </c>
    </row>
    <row r="45" spans="1:11" ht="16.5" hidden="1" customHeight="1"/>
    <row r="46" spans="1:11" ht="0.75" customHeight="1"/>
    <row r="47" spans="1:11" ht="1.5" customHeight="1"/>
    <row r="48" spans="1:11" ht="41.25" customHeight="1">
      <c r="A48" s="345" t="s">
        <v>44</v>
      </c>
      <c r="B48" s="17">
        <v>2015</v>
      </c>
      <c r="C48" s="17">
        <v>2025</v>
      </c>
      <c r="D48" s="17">
        <v>2035</v>
      </c>
      <c r="E48" s="17">
        <v>2050</v>
      </c>
    </row>
    <row r="49" spans="1:5" ht="74.25" customHeight="1">
      <c r="A49" s="345"/>
      <c r="B49" s="20">
        <f>B44-H44</f>
        <v>103</v>
      </c>
      <c r="C49" s="20">
        <f>C44-I44</f>
        <v>493</v>
      </c>
      <c r="D49" s="20">
        <f>D44-J44</f>
        <v>855</v>
      </c>
      <c r="E49" s="20">
        <f>E44-K44</f>
        <v>1410</v>
      </c>
    </row>
  </sheetData>
  <mergeCells count="9">
    <mergeCell ref="A48:A49"/>
    <mergeCell ref="A2:E2"/>
    <mergeCell ref="G2:K2"/>
    <mergeCell ref="M2:Q2"/>
    <mergeCell ref="S2:W2"/>
    <mergeCell ref="A22:E22"/>
    <mergeCell ref="G22:K22"/>
    <mergeCell ref="M22:Q22"/>
    <mergeCell ref="S22:W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DATA SUMMARY</vt:lpstr>
      <vt:lpstr>1. Workspace- Efficiency</vt:lpstr>
      <vt:lpstr>2. Workspace- Fuel Targets</vt:lpstr>
      <vt:lpstr>3. Workspace- Renewables</vt:lpstr>
      <vt:lpstr>A. Data- LEAP Windham</vt:lpstr>
      <vt:lpstr>B.Data- Town Info</vt:lpstr>
      <vt:lpstr>C. Data- Charts for Plans</vt:lpstr>
      <vt:lpstr>D. Data- LEAP Statewide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Desrochers</dc:creator>
  <cp:lastModifiedBy>JEFF NUGENT</cp:lastModifiedBy>
  <cp:lastPrinted>2017-04-28T21:31:54Z</cp:lastPrinted>
  <dcterms:created xsi:type="dcterms:W3CDTF">2016-10-03T13:03:02Z</dcterms:created>
  <dcterms:modified xsi:type="dcterms:W3CDTF">2017-04-28T23:56:42Z</dcterms:modified>
</cp:coreProperties>
</file>